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 KHM\Documents\Karoo Hoogland\Budget 2022 2023\"/>
    </mc:Choice>
  </mc:AlternateContent>
  <xr:revisionPtr revIDLastSave="0" documentId="13_ncr:1_{3779D285-52F8-45C8-BB16-6BD81AF597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riewe Afr" sheetId="1" r:id="rId1"/>
    <sheet name="Tariewe Eng" sheetId="5" r:id="rId2"/>
    <sheet name="Elek Tariewe Detail " sheetId="2" r:id="rId3"/>
    <sheet name="Werkspapier Table SA 14" sheetId="3" r:id="rId4"/>
  </sheets>
  <definedNames>
    <definedName name="_xlnm.Print_Area" localSheetId="0">'Tariewe Afr'!$A$1:$Y$259</definedName>
    <definedName name="_xlnm.Print_Area" localSheetId="1">'Tariewe Eng'!$A$1:$H$246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2" l="1"/>
  <c r="F7" i="2"/>
  <c r="L58" i="2"/>
  <c r="L57" i="2"/>
  <c r="L56" i="2"/>
  <c r="L55" i="2"/>
  <c r="L54" i="2"/>
  <c r="F51" i="2"/>
  <c r="F50" i="2"/>
  <c r="L46" i="2"/>
  <c r="L45" i="2"/>
  <c r="L44" i="2"/>
  <c r="L43" i="2"/>
  <c r="F39" i="2"/>
  <c r="F38" i="2"/>
  <c r="F37" i="2"/>
  <c r="F36" i="2"/>
  <c r="F35" i="2"/>
  <c r="L33" i="2"/>
  <c r="L32" i="2"/>
  <c r="P32" i="2" s="1"/>
  <c r="F21" i="2"/>
  <c r="K20" i="2"/>
  <c r="K19" i="2"/>
  <c r="K18" i="2"/>
  <c r="K17" i="2"/>
  <c r="K16" i="2"/>
  <c r="K15" i="2"/>
  <c r="K14" i="2"/>
  <c r="Y214" i="1"/>
  <c r="Y213" i="1"/>
  <c r="Y159" i="1"/>
  <c r="I66" i="2"/>
  <c r="X121" i="1"/>
  <c r="Y121" i="1" s="1"/>
  <c r="W117" i="1"/>
  <c r="X117" i="1" s="1"/>
  <c r="Y117" i="1" s="1"/>
  <c r="W116" i="1"/>
  <c r="X116" i="1" s="1"/>
  <c r="Y116" i="1" s="1"/>
  <c r="W115" i="1"/>
  <c r="X115" i="1" s="1"/>
  <c r="Y115" i="1" s="1"/>
  <c r="W114" i="1"/>
  <c r="X114" i="1" s="1"/>
  <c r="Y114" i="1" s="1"/>
  <c r="W113" i="1"/>
  <c r="X113" i="1" s="1"/>
  <c r="Y113" i="1" s="1"/>
  <c r="X61" i="1"/>
  <c r="X127" i="1" s="1"/>
  <c r="X203" i="1" s="1"/>
  <c r="W45" i="1"/>
  <c r="X45" i="1" s="1"/>
  <c r="Y45" i="1" s="1"/>
  <c r="F64" i="2" s="1"/>
  <c r="W44" i="1"/>
  <c r="X44" i="1" s="1"/>
  <c r="Y44" i="1" s="1"/>
  <c r="F63" i="2" s="1"/>
  <c r="W43" i="1"/>
  <c r="X43" i="1" s="1"/>
  <c r="Y43" i="1" s="1"/>
  <c r="F62" i="2" s="1"/>
  <c r="W39" i="1"/>
  <c r="X39" i="1" s="1"/>
  <c r="Y39" i="1" s="1"/>
  <c r="F59" i="2" s="1"/>
  <c r="W38" i="1"/>
  <c r="X38" i="1" s="1"/>
  <c r="Y38" i="1" s="1"/>
  <c r="F53" i="2" s="1"/>
  <c r="W31" i="1"/>
  <c r="X31" i="1" s="1"/>
  <c r="Y31" i="1" s="1"/>
  <c r="W30" i="1"/>
  <c r="X30" i="1" s="1"/>
  <c r="Y30" i="1" s="1"/>
  <c r="F43" i="2" s="1"/>
  <c r="W26" i="1"/>
  <c r="X26" i="1" s="1"/>
  <c r="Y26" i="1" s="1"/>
  <c r="F33" i="2" s="1"/>
  <c r="W25" i="1"/>
  <c r="X25" i="1" s="1"/>
  <c r="Y25" i="1" s="1"/>
  <c r="F32" i="2" s="1"/>
  <c r="W23" i="1"/>
  <c r="X23" i="1" s="1"/>
  <c r="Y23" i="1" s="1"/>
  <c r="W20" i="1"/>
  <c r="X20" i="1" s="1"/>
  <c r="Y20" i="1" s="1"/>
  <c r="F27" i="2" s="1"/>
  <c r="W15" i="1"/>
  <c r="X15" i="1" s="1"/>
  <c r="Y15" i="1" s="1"/>
  <c r="F24" i="2" s="1"/>
  <c r="W13" i="1"/>
  <c r="X13" i="1" s="1"/>
  <c r="Y13" i="1" s="1"/>
  <c r="F12" i="2" s="1"/>
  <c r="W12" i="1"/>
  <c r="X12" i="1" s="1"/>
  <c r="Y12" i="1" s="1"/>
  <c r="F11" i="2" s="1"/>
  <c r="W8" i="1"/>
  <c r="X8" i="1" s="1"/>
  <c r="Y8" i="1" s="1"/>
  <c r="F6" i="2" s="1"/>
  <c r="W7" i="1"/>
  <c r="X7" i="1" s="1"/>
  <c r="Y7" i="1" s="1"/>
  <c r="F5" i="2" s="1"/>
  <c r="F34" i="2" l="1"/>
  <c r="F47" i="2"/>
  <c r="P11" i="2"/>
  <c r="Q11" i="2" s="1"/>
  <c r="W61" i="1"/>
  <c r="W127" i="1" s="1"/>
  <c r="W203" i="1" s="1"/>
  <c r="V121" i="1" l="1"/>
  <c r="P33" i="2" l="1"/>
  <c r="Q33" i="2" s="1"/>
  <c r="Q32" i="2"/>
  <c r="E20" i="2"/>
  <c r="E19" i="2"/>
  <c r="E18" i="2"/>
  <c r="E17" i="2"/>
  <c r="E16" i="2"/>
  <c r="E15" i="2"/>
  <c r="E14" i="2"/>
  <c r="I51" i="2"/>
  <c r="I50" i="2"/>
  <c r="U84" i="1" l="1"/>
  <c r="V84" i="1" s="1"/>
  <c r="W84" i="1" s="1"/>
  <c r="X84" i="1" s="1"/>
  <c r="Y84" i="1" s="1"/>
  <c r="U83" i="1"/>
  <c r="V83" i="1" s="1"/>
  <c r="W83" i="1" s="1"/>
  <c r="X83" i="1" s="1"/>
  <c r="Y83" i="1" s="1"/>
  <c r="U82" i="1"/>
  <c r="V82" i="1" s="1"/>
  <c r="W82" i="1" s="1"/>
  <c r="X82" i="1" s="1"/>
  <c r="Y82" i="1" s="1"/>
  <c r="U77" i="1"/>
  <c r="V77" i="1" s="1"/>
  <c r="W77" i="1" s="1"/>
  <c r="X77" i="1" s="1"/>
  <c r="Y77" i="1" s="1"/>
  <c r="U76" i="1"/>
  <c r="V76" i="1" s="1"/>
  <c r="W76" i="1" s="1"/>
  <c r="X76" i="1" s="1"/>
  <c r="Y76" i="1" s="1"/>
  <c r="U75" i="1"/>
  <c r="V75" i="1" s="1"/>
  <c r="W75" i="1" s="1"/>
  <c r="X75" i="1" s="1"/>
  <c r="Y75" i="1" s="1"/>
  <c r="U74" i="1"/>
  <c r="V74" i="1" s="1"/>
  <c r="W74" i="1" s="1"/>
  <c r="X74" i="1" s="1"/>
  <c r="Y74" i="1" s="1"/>
  <c r="U73" i="1"/>
  <c r="V73" i="1" s="1"/>
  <c r="W73" i="1" s="1"/>
  <c r="X73" i="1" s="1"/>
  <c r="Y73" i="1" s="1"/>
  <c r="U72" i="1"/>
  <c r="V72" i="1" s="1"/>
  <c r="W72" i="1" s="1"/>
  <c r="X72" i="1" s="1"/>
  <c r="Y72" i="1" s="1"/>
  <c r="U71" i="1"/>
  <c r="V71" i="1" s="1"/>
  <c r="W71" i="1" s="1"/>
  <c r="X71" i="1" s="1"/>
  <c r="Y71" i="1" s="1"/>
  <c r="U70" i="1"/>
  <c r="V70" i="1" s="1"/>
  <c r="W70" i="1" s="1"/>
  <c r="X70" i="1" s="1"/>
  <c r="Y70" i="1" s="1"/>
  <c r="U69" i="1"/>
  <c r="V69" i="1" s="1"/>
  <c r="W69" i="1" s="1"/>
  <c r="X69" i="1" s="1"/>
  <c r="Y69" i="1" s="1"/>
  <c r="U68" i="1"/>
  <c r="V68" i="1" s="1"/>
  <c r="W68" i="1" s="1"/>
  <c r="X68" i="1" s="1"/>
  <c r="Y68" i="1" s="1"/>
  <c r="U67" i="1"/>
  <c r="V67" i="1" s="1"/>
  <c r="W67" i="1" s="1"/>
  <c r="X67" i="1" s="1"/>
  <c r="Y67" i="1" s="1"/>
  <c r="U66" i="1"/>
  <c r="V66" i="1" s="1"/>
  <c r="W66" i="1" s="1"/>
  <c r="X66" i="1" s="1"/>
  <c r="Y66" i="1" s="1"/>
  <c r="U65" i="1"/>
  <c r="V65" i="1" s="1"/>
  <c r="W65" i="1" s="1"/>
  <c r="X65" i="1" s="1"/>
  <c r="Y65" i="1" s="1"/>
  <c r="U64" i="1"/>
  <c r="V64" i="1" s="1"/>
  <c r="W64" i="1" s="1"/>
  <c r="X64" i="1" s="1"/>
  <c r="Y64" i="1" s="1"/>
  <c r="U63" i="1"/>
  <c r="V63" i="1" s="1"/>
  <c r="W63" i="1" s="1"/>
  <c r="X63" i="1" s="1"/>
  <c r="Y63" i="1" s="1"/>
  <c r="V116" i="1"/>
  <c r="V117" i="1"/>
  <c r="V115" i="1"/>
  <c r="V114" i="1"/>
  <c r="V113" i="1"/>
  <c r="U44" i="1"/>
  <c r="U43" i="1"/>
  <c r="U39" i="1"/>
  <c r="U31" i="1"/>
  <c r="U20" i="1"/>
  <c r="U15" i="1"/>
  <c r="V168" i="1"/>
  <c r="V103" i="1"/>
  <c r="W103" i="1" s="1"/>
  <c r="X103" i="1" s="1"/>
  <c r="Y103" i="1" s="1"/>
  <c r="V61" i="1"/>
  <c r="V127" i="1" s="1"/>
  <c r="V203" i="1" s="1"/>
  <c r="P39" i="2"/>
  <c r="Q39" i="2" s="1"/>
  <c r="P38" i="2"/>
  <c r="Q38" i="2" s="1"/>
  <c r="P37" i="2"/>
  <c r="Q37" i="2" s="1"/>
  <c r="P36" i="2"/>
  <c r="Q36" i="2" s="1"/>
  <c r="P34" i="2"/>
  <c r="Q34" i="2" s="1"/>
  <c r="P64" i="2"/>
  <c r="Q64" i="2" s="1"/>
  <c r="P63" i="2"/>
  <c r="Q63" i="2" s="1"/>
  <c r="P62" i="2"/>
  <c r="Q62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1" i="2"/>
  <c r="Q51" i="2"/>
  <c r="P50" i="2"/>
  <c r="Q50" i="2" s="1"/>
  <c r="P47" i="2"/>
  <c r="Q47" i="2" s="1"/>
  <c r="P46" i="2"/>
  <c r="Q46" i="2" s="1"/>
  <c r="P45" i="2"/>
  <c r="Q45" i="2" s="1"/>
  <c r="P44" i="2"/>
  <c r="Q44" i="2" s="1"/>
  <c r="P43" i="2"/>
  <c r="Q43" i="2" s="1"/>
  <c r="P27" i="2"/>
  <c r="Q27" i="2" s="1"/>
  <c r="P24" i="2"/>
  <c r="Q24" i="2" s="1"/>
  <c r="F22" i="2"/>
  <c r="P22" i="2" s="1"/>
  <c r="Q22" i="2" s="1"/>
  <c r="P21" i="2"/>
  <c r="P20" i="2"/>
  <c r="Q20" i="2" s="1"/>
  <c r="P19" i="2"/>
  <c r="Q19" i="2" s="1"/>
  <c r="P18" i="2"/>
  <c r="Q18" i="2" s="1"/>
  <c r="P17" i="2"/>
  <c r="Q17" i="2" s="1"/>
  <c r="P16" i="2"/>
  <c r="Q16" i="2" s="1"/>
  <c r="P15" i="2"/>
  <c r="Q15" i="2" s="1"/>
  <c r="P14" i="2"/>
  <c r="Q14" i="2" s="1"/>
  <c r="P7" i="2"/>
  <c r="Q7" i="2" s="1"/>
  <c r="P6" i="2"/>
  <c r="Q6" i="2" s="1"/>
  <c r="P5" i="2"/>
  <c r="Q5" i="2" s="1"/>
  <c r="H198" i="5"/>
  <c r="G103" i="5"/>
  <c r="H93" i="5"/>
  <c r="H92" i="5"/>
  <c r="H91" i="5"/>
  <c r="H90" i="5"/>
  <c r="H89" i="5"/>
  <c r="H84" i="5"/>
  <c r="H83" i="5"/>
  <c r="H82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1" i="5"/>
  <c r="H127" i="5" s="1"/>
  <c r="H193" i="5" s="1"/>
  <c r="G61" i="5"/>
  <c r="G127" i="5" s="1"/>
  <c r="G193" i="5" s="1"/>
  <c r="F61" i="5"/>
  <c r="F127" i="5" s="1"/>
  <c r="F193" i="5" s="1"/>
  <c r="H45" i="5"/>
  <c r="H44" i="5"/>
  <c r="H43" i="5"/>
  <c r="H39" i="5"/>
  <c r="H38" i="5"/>
  <c r="H31" i="5"/>
  <c r="H30" i="5"/>
  <c r="H25" i="5"/>
  <c r="H24" i="5"/>
  <c r="H26" i="5"/>
  <c r="H20" i="5"/>
  <c r="H15" i="5"/>
  <c r="H12" i="5"/>
  <c r="H11" i="5"/>
  <c r="H7" i="5"/>
  <c r="H6" i="5"/>
  <c r="U89" i="1"/>
  <c r="V89" i="1" s="1"/>
  <c r="W89" i="1" s="1"/>
  <c r="X89" i="1" s="1"/>
  <c r="Y89" i="1" s="1"/>
  <c r="U93" i="1"/>
  <c r="V93" i="1" s="1"/>
  <c r="W93" i="1" s="1"/>
  <c r="X93" i="1" s="1"/>
  <c r="Y93" i="1" s="1"/>
  <c r="U92" i="1"/>
  <c r="V92" i="1" s="1"/>
  <c r="W92" i="1" s="1"/>
  <c r="X92" i="1" s="1"/>
  <c r="Y92" i="1" s="1"/>
  <c r="U91" i="1"/>
  <c r="V91" i="1" s="1"/>
  <c r="W91" i="1" s="1"/>
  <c r="X91" i="1" s="1"/>
  <c r="Y91" i="1" s="1"/>
  <c r="U90" i="1"/>
  <c r="V90" i="1" s="1"/>
  <c r="W90" i="1" s="1"/>
  <c r="X90" i="1" s="1"/>
  <c r="Y90" i="1" s="1"/>
  <c r="U208" i="1"/>
  <c r="V208" i="1" s="1"/>
  <c r="W208" i="1" s="1"/>
  <c r="X208" i="1" s="1"/>
  <c r="U61" i="1"/>
  <c r="U127" i="1" s="1"/>
  <c r="U203" i="1" s="1"/>
  <c r="G116" i="1"/>
  <c r="K116" i="1" s="1"/>
  <c r="T103" i="1"/>
  <c r="T61" i="1"/>
  <c r="T127" i="1" s="1"/>
  <c r="T203" i="1" s="1"/>
  <c r="V79" i="5"/>
  <c r="C36" i="3"/>
  <c r="D36" i="3" s="1"/>
  <c r="C35" i="3"/>
  <c r="D35" i="3" s="1"/>
  <c r="C34" i="3"/>
  <c r="D34" i="3" s="1"/>
  <c r="C33" i="3"/>
  <c r="D33" i="3" s="1"/>
  <c r="C32" i="3"/>
  <c r="D32" i="3" s="1"/>
  <c r="C30" i="3"/>
  <c r="D30" i="3" s="1"/>
  <c r="C23" i="3"/>
  <c r="D23" i="3" s="1"/>
  <c r="C22" i="3"/>
  <c r="D22" i="3" s="1"/>
  <c r="C21" i="3"/>
  <c r="D21" i="3" s="1"/>
  <c r="C20" i="3"/>
  <c r="D20" i="3" s="1"/>
  <c r="C19" i="3"/>
  <c r="D19" i="3" s="1"/>
  <c r="C17" i="3"/>
  <c r="D17" i="3" s="1"/>
  <c r="C11" i="3"/>
  <c r="D11" i="3" s="1"/>
  <c r="C10" i="3"/>
  <c r="D10" i="3" s="1"/>
  <c r="C9" i="3"/>
  <c r="D9" i="3" s="1"/>
  <c r="C8" i="3"/>
  <c r="D8" i="3" s="1"/>
  <c r="C7" i="3"/>
  <c r="D7" i="3" s="1"/>
  <c r="C6" i="3"/>
  <c r="D6" i="3" s="1"/>
  <c r="C4" i="3"/>
  <c r="D4" i="3" s="1"/>
  <c r="I77" i="1"/>
  <c r="R203" i="1"/>
  <c r="Q203" i="1"/>
  <c r="P203" i="1"/>
  <c r="O203" i="1"/>
  <c r="N203" i="1"/>
  <c r="M203" i="1"/>
  <c r="L203" i="1"/>
  <c r="K203" i="1"/>
  <c r="J203" i="1"/>
  <c r="I203" i="1"/>
  <c r="H203" i="1"/>
  <c r="I83" i="1"/>
  <c r="K82" i="1"/>
  <c r="I82" i="1"/>
  <c r="AK76" i="1"/>
  <c r="S61" i="1"/>
  <c r="S127" i="1" s="1"/>
  <c r="S203" i="1" s="1"/>
  <c r="M14" i="1"/>
  <c r="N14" i="1" s="1"/>
  <c r="K37" i="1"/>
  <c r="K38" i="1" s="1"/>
  <c r="K31" i="1"/>
  <c r="L30" i="1"/>
  <c r="I116" i="1"/>
  <c r="K113" i="1"/>
  <c r="K66" i="1"/>
  <c r="K64" i="1"/>
  <c r="I110" i="1"/>
  <c r="I76" i="1"/>
  <c r="O80" i="1"/>
  <c r="O76" i="1"/>
  <c r="I234" i="1"/>
  <c r="I233" i="1"/>
  <c r="I179" i="1"/>
  <c r="I178" i="1"/>
  <c r="I177" i="1"/>
  <c r="I169" i="1"/>
  <c r="I168" i="1"/>
  <c r="I161" i="1"/>
  <c r="I208" i="1"/>
  <c r="I207" i="1"/>
  <c r="G197" i="1"/>
  <c r="I197" i="1" s="1"/>
  <c r="I145" i="1"/>
  <c r="I146" i="1"/>
  <c r="I148" i="1"/>
  <c r="I109" i="1"/>
  <c r="Q21" i="2"/>
  <c r="K93" i="1"/>
  <c r="K92" i="1"/>
  <c r="K23" i="1"/>
  <c r="K8" i="1"/>
  <c r="L8" i="1" s="1"/>
  <c r="G117" i="1"/>
  <c r="K117" i="1" s="1"/>
  <c r="G114" i="1"/>
  <c r="G115" i="1" s="1"/>
  <c r="K115" i="1" s="1"/>
  <c r="I222" i="1"/>
  <c r="I221" i="1"/>
  <c r="I66" i="1"/>
  <c r="I171" i="1"/>
  <c r="I227" i="1"/>
  <c r="I226" i="1"/>
  <c r="I200" i="1"/>
  <c r="I199" i="1"/>
  <c r="I198" i="1"/>
  <c r="I189" i="1"/>
  <c r="I188" i="1"/>
  <c r="I187" i="1"/>
  <c r="I186" i="1"/>
  <c r="I218" i="1"/>
  <c r="I217" i="1"/>
  <c r="I214" i="1"/>
  <c r="I213" i="1"/>
  <c r="I212" i="1"/>
  <c r="I194" i="1"/>
  <c r="I193" i="1"/>
  <c r="I192" i="1"/>
  <c r="I152" i="1"/>
  <c r="I151" i="1"/>
  <c r="I138" i="1"/>
  <c r="I137" i="1"/>
  <c r="I132" i="1"/>
  <c r="I73" i="1"/>
  <c r="I72" i="1"/>
  <c r="I65" i="1"/>
  <c r="I64" i="1"/>
  <c r="I45" i="1"/>
  <c r="I44" i="1"/>
  <c r="I43" i="1"/>
  <c r="I39" i="1"/>
  <c r="I38" i="1"/>
  <c r="I31" i="1"/>
  <c r="I30" i="1"/>
  <c r="I26" i="1"/>
  <c r="I25" i="1"/>
  <c r="I23" i="1"/>
  <c r="I20" i="1"/>
  <c r="I15" i="1"/>
  <c r="I13" i="1"/>
  <c r="I12" i="1"/>
  <c r="I8" i="1"/>
  <c r="I7" i="1"/>
  <c r="I136" i="1"/>
  <c r="I93" i="1"/>
  <c r="I92" i="1"/>
  <c r="I75" i="1"/>
  <c r="I90" i="1"/>
  <c r="K90" i="1"/>
  <c r="I89" i="1"/>
  <c r="K89" i="1"/>
  <c r="I91" i="1"/>
  <c r="K91" i="1"/>
  <c r="I74" i="1"/>
  <c r="G121" i="1"/>
  <c r="M26" i="1"/>
  <c r="M25" i="1"/>
  <c r="M45" i="1"/>
  <c r="G61" i="1"/>
  <c r="G127" i="1" s="1"/>
  <c r="G203" i="1" s="1"/>
  <c r="F61" i="1"/>
  <c r="F127" i="1" s="1"/>
  <c r="F203" i="1" s="1"/>
  <c r="I232" i="1"/>
  <c r="M43" i="1"/>
  <c r="M42" i="1"/>
  <c r="M41" i="1"/>
  <c r="D38" i="1"/>
  <c r="L31" i="1" l="1"/>
  <c r="L36" i="1" s="1"/>
  <c r="K114" i="1"/>
</calcChain>
</file>

<file path=xl/sharedStrings.xml><?xml version="1.0" encoding="utf-8"?>
<sst xmlns="http://schemas.openxmlformats.org/spreadsheetml/2006/main" count="721" uniqueCount="487">
  <si>
    <t>KAROO HOOGLAND  - TARIEWE</t>
  </si>
  <si>
    <t xml:space="preserve">ELEKTRISITEIT </t>
  </si>
  <si>
    <t>Basiese heffing</t>
  </si>
  <si>
    <t>Aansluiting (Enkelfase)</t>
  </si>
  <si>
    <t>Werklik + 10%</t>
  </si>
  <si>
    <t>Vullisverwydering: Wonings</t>
  </si>
  <si>
    <t>Vullisverwydering: Besighede/Staat</t>
  </si>
  <si>
    <t>Suigtenke: Wonings</t>
  </si>
  <si>
    <t>Suigtenke: Besighede</t>
  </si>
  <si>
    <t>Water verbruik 0-6 kl</t>
  </si>
  <si>
    <t>Water verbruik  7-15 kl</t>
  </si>
  <si>
    <t>Water verbruik 51+ kl</t>
  </si>
  <si>
    <t>Water Deposito</t>
  </si>
  <si>
    <t>Water Aansluiting ( Nuut)</t>
  </si>
  <si>
    <t>Staat terreinwaardes</t>
  </si>
  <si>
    <t>Bouklousule</t>
  </si>
  <si>
    <t>Perseel</t>
  </si>
  <si>
    <t>Oornag per staanplek (maks 4 persone)</t>
  </si>
  <si>
    <t>Oornag per addisionele persoon</t>
  </si>
  <si>
    <t>Dagbesoek per persoon</t>
  </si>
  <si>
    <t>Dagbesoeker</t>
  </si>
  <si>
    <t>Seisoen</t>
  </si>
  <si>
    <t>Reun</t>
  </si>
  <si>
    <t>Teef</t>
  </si>
  <si>
    <t>Gesterilliseerde Teef</t>
  </si>
  <si>
    <t>Kraaines</t>
  </si>
  <si>
    <t>1 Bladsy</t>
  </si>
  <si>
    <t>Per bladsy na 1 ste bladsy</t>
  </si>
  <si>
    <t>Ontvangs per bladsy</t>
  </si>
  <si>
    <t>A4</t>
  </si>
  <si>
    <t>A3</t>
  </si>
  <si>
    <t>Fraserburg</t>
  </si>
  <si>
    <t>Kraaines Huisies 2</t>
  </si>
  <si>
    <t>Sutherland</t>
  </si>
  <si>
    <t>Deposito's</t>
  </si>
  <si>
    <t>Danse en Troues</t>
  </si>
  <si>
    <t>Ander</t>
  </si>
  <si>
    <t>Sleuteldeposito</t>
  </si>
  <si>
    <t>Danse, Troues en Partytjies</t>
  </si>
  <si>
    <t>Drankverkope (Bykomend tot saal)</t>
  </si>
  <si>
    <t>Alle ander</t>
  </si>
  <si>
    <t>Eenheidstarief</t>
  </si>
  <si>
    <t>Huishoudelik Maks 60Ampere</t>
  </si>
  <si>
    <t>Besigheidstariewe</t>
  </si>
  <si>
    <t xml:space="preserve">Ampere aansluiting  </t>
  </si>
  <si>
    <t>Aanvraag</t>
  </si>
  <si>
    <t>per kVa per maand</t>
  </si>
  <si>
    <t>per ampere per maand</t>
  </si>
  <si>
    <t>Grootmaat Verbruikers &gt; 100 Ampere</t>
  </si>
  <si>
    <t>Vooruitbetaal : Deernis gevalle</t>
  </si>
  <si>
    <t>nil</t>
  </si>
  <si>
    <t>Gastehuise</t>
  </si>
  <si>
    <t>meer as 2 kamers verhuur</t>
  </si>
  <si>
    <t>Enkelfase Besighede</t>
  </si>
  <si>
    <t>Basiese heffing per maand</t>
  </si>
  <si>
    <t>Huishoudings</t>
  </si>
  <si>
    <t>Besighede</t>
  </si>
  <si>
    <t>Landbougronde</t>
  </si>
  <si>
    <t>Addisionele Korting : Landbou</t>
  </si>
  <si>
    <t>Infaserings Korting Landbou</t>
  </si>
  <si>
    <t>eerste 50 eenhede gratis</t>
  </si>
  <si>
    <t>Uitwisbaar</t>
  </si>
  <si>
    <t>60 A</t>
  </si>
  <si>
    <t>30 A</t>
  </si>
  <si>
    <t>3 Fase Klein Algemene Verbruikers Maks 60 Ampere</t>
  </si>
  <si>
    <t>eerste 20 000 per maand</t>
  </si>
  <si>
    <t>verbruik bokant 20 000</t>
  </si>
  <si>
    <t>Kerke / Gemeenskapsdienste / Skole</t>
  </si>
  <si>
    <t>1 suig per maand</t>
  </si>
  <si>
    <t>Btw Ingesluit</t>
  </si>
  <si>
    <t>2013/2014</t>
  </si>
  <si>
    <t>Uitklaring sertifikaat</t>
  </si>
  <si>
    <t>Waardasie sertifikaat</t>
  </si>
  <si>
    <t>Tuinvullisverwydering per vrag</t>
  </si>
  <si>
    <t>Fraserburg Stadsaal</t>
  </si>
  <si>
    <t xml:space="preserve"> Tarief </t>
  </si>
  <si>
    <t>Tariefkode</t>
  </si>
  <si>
    <t>Total</t>
  </si>
  <si>
    <t>E500</t>
  </si>
  <si>
    <t>per eenheid</t>
  </si>
  <si>
    <t>E091</t>
  </si>
  <si>
    <t>E089</t>
  </si>
  <si>
    <t>E088</t>
  </si>
  <si>
    <t>E088 &amp; E089</t>
  </si>
  <si>
    <t>3 Fase Klein Algemene Verbruikers Maks 60 Ampere              ( M.a.w. tot 'n maksimum van 20Amp per fase)</t>
  </si>
  <si>
    <t>E096</t>
  </si>
  <si>
    <t>E097</t>
  </si>
  <si>
    <t>E098</t>
  </si>
  <si>
    <t>E100</t>
  </si>
  <si>
    <t>E096, E097, E098 &amp; E100</t>
  </si>
  <si>
    <t>Algemene Verbruikers tot Maks 80 Ampere per fase               (M.a.w. alles bokant 20Amp per fase)</t>
  </si>
  <si>
    <t>E105</t>
  </si>
  <si>
    <t>E110</t>
  </si>
  <si>
    <t>E115</t>
  </si>
  <si>
    <t>E120</t>
  </si>
  <si>
    <t>E130</t>
  </si>
  <si>
    <t>E105, E110,E115, E120 &amp; E130</t>
  </si>
  <si>
    <t>eerste 20 000 eenhede</t>
  </si>
  <si>
    <t>E140</t>
  </si>
  <si>
    <t>m.a.w. van 20 001 eenhede af aan</t>
  </si>
  <si>
    <t>per Kva</t>
  </si>
  <si>
    <t>E141</t>
  </si>
  <si>
    <t>BTW</t>
  </si>
  <si>
    <t>E092</t>
  </si>
  <si>
    <t>Enkelfase Kerke, Gemeenskapsdienste en Skole</t>
  </si>
  <si>
    <t>3 Fase Kerke, Gemeenskapsdienste en Skole</t>
  </si>
  <si>
    <t xml:space="preserve"> ampere per maand</t>
  </si>
  <si>
    <t>E044</t>
  </si>
  <si>
    <t>E004</t>
  </si>
  <si>
    <t>E037</t>
  </si>
  <si>
    <t>E038</t>
  </si>
  <si>
    <t>E001</t>
  </si>
  <si>
    <t>E050</t>
  </si>
  <si>
    <t>E019</t>
  </si>
  <si>
    <t>E076</t>
  </si>
  <si>
    <t>E150</t>
  </si>
  <si>
    <t>Prepaid 3 fase verbruikers  Butchery Fraserburg</t>
  </si>
  <si>
    <t>Soneringssertifikate</t>
  </si>
  <si>
    <t>2014/2015</t>
  </si>
  <si>
    <t xml:space="preserve">Addisionele Heffing : </t>
  </si>
  <si>
    <t>Lang termyn</t>
  </si>
  <si>
    <t>Sutherland OVK</t>
  </si>
  <si>
    <t>Suigtenk Sterrewag</t>
  </si>
  <si>
    <t>km</t>
  </si>
  <si>
    <t>verlore tyd</t>
  </si>
  <si>
    <t>Behandeling</t>
  </si>
  <si>
    <t>Uur tarief</t>
  </si>
  <si>
    <t>per uur</t>
  </si>
  <si>
    <t>nb kyk na tender prys</t>
  </si>
  <si>
    <t>Kafee,3 Slaghuise,Absa,Slagpale,1 winkel</t>
  </si>
  <si>
    <t>Algemene Heffing (Staat)</t>
  </si>
  <si>
    <t>Korting van 2.5% word toegestaan op belastings wat ten volle betaal is voor of op 30 September van elke jaar</t>
  </si>
  <si>
    <t>Kombuis (Alleenlik)</t>
  </si>
  <si>
    <t>Opsomming van Rekeninge per jaar</t>
  </si>
  <si>
    <t>Druk van addisionele rekeninge per bladsy</t>
  </si>
  <si>
    <t>Peuter met meter of netwerk 1 ste boete</t>
  </si>
  <si>
    <t>Peuter met meter of netwerk 2 de boete</t>
  </si>
  <si>
    <t>Fakse</t>
  </si>
  <si>
    <t>Fotostate</t>
  </si>
  <si>
    <t>Oordragte</t>
  </si>
  <si>
    <t>Bouplangelde</t>
  </si>
  <si>
    <t>Elektrisiteit Heraansluitings fooi</t>
  </si>
  <si>
    <t>Vryvloei sanitasie</t>
  </si>
  <si>
    <t>Koshuise</t>
  </si>
  <si>
    <t>ELEKTRISITEIT:</t>
  </si>
  <si>
    <t>SANITASIE:</t>
  </si>
  <si>
    <t>VULLISVERWYDERING:</t>
  </si>
  <si>
    <t>WATER:</t>
  </si>
  <si>
    <t>EIENDOMSBELASTING:</t>
  </si>
  <si>
    <t xml:space="preserve">          Sutherland, Amandelboom (Instandhouding Straatligte)</t>
  </si>
  <si>
    <t>DIVERSE DIENSTE EN HUURGELDE:</t>
  </si>
  <si>
    <t>GRAFTE:</t>
  </si>
  <si>
    <t>KARAVAANPARK:</t>
  </si>
  <si>
    <t>SWEMBAD:</t>
  </si>
  <si>
    <t>HONDELISENSIES:</t>
  </si>
  <si>
    <t>HUUR VAN GEBOUE:</t>
  </si>
  <si>
    <t>HUUR MUNISIPALE HUISE:</t>
  </si>
  <si>
    <t>ANDER WONINGS EN WOONSTELLE:</t>
  </si>
  <si>
    <t>Kort termyn</t>
  </si>
  <si>
    <t>ADMINISTRATIEWE FOOIE:</t>
  </si>
  <si>
    <t>Water Heraansluitings fooi</t>
  </si>
  <si>
    <t>Verwyderings na ure</t>
  </si>
  <si>
    <t>Elektrisiteit Dienste Boetes</t>
  </si>
  <si>
    <t>Water Dienste Boetes</t>
  </si>
  <si>
    <t>Geskatte verbruik vir 3 maande Minimum R300.00</t>
  </si>
  <si>
    <t>ALLE DIENSTE NA URE:</t>
  </si>
  <si>
    <t>ALGEMEEN:</t>
  </si>
  <si>
    <t>Alle ouetehuise 20% korting op dienste en 100 % op erfbelasting</t>
  </si>
  <si>
    <t>Ander Sanitasie UDS</t>
  </si>
  <si>
    <t>Bloed Dreine</t>
  </si>
  <si>
    <t>2 suig per maand</t>
  </si>
  <si>
    <t>Addisionele verwydering; Wonings</t>
  </si>
  <si>
    <t>Addisionele verwydering; Besighede</t>
  </si>
  <si>
    <t>Meer as twee verwyderings: Wonings</t>
  </si>
  <si>
    <t>Meer as twee verwyderings: Besighede</t>
  </si>
  <si>
    <t>Tafels per tafel (Slegs in KHM geboue)</t>
  </si>
  <si>
    <t>Alle ander funksies</t>
  </si>
  <si>
    <t>Aansoek Toets meter Prepaid en Konvensioneel</t>
  </si>
  <si>
    <t>Bewys van Adres</t>
  </si>
  <si>
    <t>Elektrisiteit Dienste Ander fooie</t>
  </si>
  <si>
    <t>Water Dienste Ander fooie</t>
  </si>
  <si>
    <t xml:space="preserve">Aansoek Toets meter </t>
  </si>
  <si>
    <t>Spesiale meterlesings op versoek van verbruiker</t>
  </si>
  <si>
    <t>Spesiale meterlesings op versoek van verbruiker  Prepaid Meters</t>
  </si>
  <si>
    <t>Spesiale meterlesings op versoek van verbruiker Konvensionele Meters</t>
  </si>
  <si>
    <t>Boete nie indiening van bouplanne</t>
  </si>
  <si>
    <t>Huur van gedeelte van Sportgronde te Williston deur Departement</t>
  </si>
  <si>
    <t>Gronde te huur Spesiale Tariewe</t>
  </si>
  <si>
    <t>Fraserburg en Williston huur van Sportgronde Deposito</t>
  </si>
  <si>
    <t>Fraserburg en Williston huur van Sportgronde per dag</t>
  </si>
  <si>
    <t>Fraserburg en Williston huur van Sportgronde (Ligte) per funksie</t>
  </si>
  <si>
    <t>Ammerville Gemeenskapsaal</t>
  </si>
  <si>
    <t>per bladsy</t>
  </si>
  <si>
    <t>Water verbruik 15-50 kl</t>
  </si>
  <si>
    <t>Middel Income</t>
  </si>
  <si>
    <t>Property rates</t>
  </si>
  <si>
    <t>Elec Basic</t>
  </si>
  <si>
    <t>Elec Consumption</t>
  </si>
  <si>
    <t>Water basic</t>
  </si>
  <si>
    <t>Water Consumption</t>
  </si>
  <si>
    <t>Sanitation</t>
  </si>
  <si>
    <t>Refuse</t>
  </si>
  <si>
    <t>Other</t>
  </si>
  <si>
    <t>Budget 2015/16</t>
  </si>
  <si>
    <t>Budget 2016/17</t>
  </si>
  <si>
    <t>Budget 2017/18</t>
  </si>
  <si>
    <t>Affordable Range</t>
  </si>
  <si>
    <t>Indigent</t>
  </si>
  <si>
    <t>Deernis verbruikers</t>
  </si>
  <si>
    <t>Gratis per maand</t>
  </si>
  <si>
    <t>6Kl gratis per maand</t>
  </si>
  <si>
    <t xml:space="preserve">Deernis gevalle </t>
  </si>
  <si>
    <t>Addisionele R 15000 op markwaarde</t>
  </si>
  <si>
    <t>Ouetehuise 100% korting</t>
  </si>
  <si>
    <t>Ouetehuise 20% korting</t>
  </si>
  <si>
    <t>Ouetehuise 20 % korting</t>
  </si>
  <si>
    <t>Basic levy</t>
  </si>
  <si>
    <t>per month</t>
  </si>
  <si>
    <t>Unit tariff</t>
  </si>
  <si>
    <t>per unit</t>
  </si>
  <si>
    <t>Churches/Community Halls/Schools</t>
  </si>
  <si>
    <t>per ampere per month</t>
  </si>
  <si>
    <t xml:space="preserve">Ampere charges </t>
  </si>
  <si>
    <t>Guest houses</t>
  </si>
  <si>
    <t>Domestic Max 60A: Prepaid and Conventional</t>
  </si>
  <si>
    <t>Business Tariffs: Single Phase</t>
  </si>
  <si>
    <t>Business Tariffs: Three Phase Small Consumers Max 60A</t>
  </si>
  <si>
    <t>Ampere charges 60 A</t>
  </si>
  <si>
    <t>Ampere charges 30 A</t>
  </si>
  <si>
    <t>Ampere charges</t>
  </si>
  <si>
    <t>General Consumers Max 100A</t>
  </si>
  <si>
    <t>Industrial Consumers &gt; 100A</t>
  </si>
  <si>
    <t>Unit tariff first 20 000 per month</t>
  </si>
  <si>
    <t>Unit tariff more than 20 000 per month</t>
  </si>
  <si>
    <t>Demand chrages</t>
  </si>
  <si>
    <t>per KVa per month</t>
  </si>
  <si>
    <t>Tampering with meter or network</t>
  </si>
  <si>
    <t>1st Penalty</t>
  </si>
  <si>
    <t>2 nd Penalty</t>
  </si>
  <si>
    <t>Deposit</t>
  </si>
  <si>
    <t>All Consumers</t>
  </si>
  <si>
    <t>Penalties</t>
  </si>
  <si>
    <t>Other fees</t>
  </si>
  <si>
    <t>Connection fees</t>
  </si>
  <si>
    <t>Reconnection fees</t>
  </si>
  <si>
    <t>Special readings on request of consumer Conventional meters</t>
  </si>
  <si>
    <t>Special readings on request of consumer Prepaid meters</t>
  </si>
  <si>
    <t>Domestic</t>
  </si>
  <si>
    <t>Freeflow</t>
  </si>
  <si>
    <t>1 removal per month</t>
  </si>
  <si>
    <t>2 removals per month</t>
  </si>
  <si>
    <t>more than two removals per month</t>
  </si>
  <si>
    <t>Suction Tanks</t>
  </si>
  <si>
    <t>UDS Toilets</t>
  </si>
  <si>
    <t>Businesses</t>
  </si>
  <si>
    <t>After hours removal</t>
  </si>
  <si>
    <t>per removal</t>
  </si>
  <si>
    <t xml:space="preserve">State </t>
  </si>
  <si>
    <t>Suction Tank Observatory</t>
  </si>
  <si>
    <t>Abbatoirs</t>
  </si>
  <si>
    <t>Indigent Consumers</t>
  </si>
  <si>
    <t>free per month</t>
  </si>
  <si>
    <t>REFUSE REMOVAL</t>
  </si>
  <si>
    <t>Refuse removal</t>
  </si>
  <si>
    <t>once per week</t>
  </si>
  <si>
    <t xml:space="preserve">Businesses </t>
  </si>
  <si>
    <t>All Businesses</t>
  </si>
  <si>
    <t xml:space="preserve">Garden refuse </t>
  </si>
  <si>
    <t>per load</t>
  </si>
  <si>
    <t>per kilolitre</t>
  </si>
  <si>
    <t>Indigents: Prepaid and Conventional</t>
  </si>
  <si>
    <t>Hostels/Schools</t>
  </si>
  <si>
    <t>Water Consumption 0-6 kl</t>
  </si>
  <si>
    <t>Water Consumption  7-15 kl</t>
  </si>
  <si>
    <t>Water Consumption 15-50 kl</t>
  </si>
  <si>
    <t>Water Consumption 51+ kl</t>
  </si>
  <si>
    <t>Special readings on request of consumer</t>
  </si>
  <si>
    <t>RATES and TAXES</t>
  </si>
  <si>
    <t>Residential</t>
  </si>
  <si>
    <t>on market value</t>
  </si>
  <si>
    <t>State owned properties</t>
  </si>
  <si>
    <t>Agriculture</t>
  </si>
  <si>
    <t>Building Clause</t>
  </si>
  <si>
    <t>Indigent consumers</t>
  </si>
  <si>
    <t xml:space="preserve">Application test of meter </t>
  </si>
  <si>
    <t>Application test of meter Prepaid or Conventional</t>
  </si>
  <si>
    <t>Additional levy:</t>
  </si>
  <si>
    <t xml:space="preserve">          Sutherland, Amandelboom (Maintenance streetlights)</t>
  </si>
  <si>
    <t>Discount of 2.5% on rates and taxes fully paid up before 30 September of each year.</t>
  </si>
  <si>
    <t>SUNDRY SERVICES AND RENTAL FEES</t>
  </si>
  <si>
    <t>Grave Fees</t>
  </si>
  <si>
    <t>Cemeteries</t>
  </si>
  <si>
    <t>Caravanpark</t>
  </si>
  <si>
    <t>Swimming Pool</t>
  </si>
  <si>
    <t>Dog Licences</t>
  </si>
  <si>
    <t>Overnight per site(maxs 4 persons)</t>
  </si>
  <si>
    <t>Overnight per additional person</t>
  </si>
  <si>
    <t>Dayvisit per person</t>
  </si>
  <si>
    <t>Dayvisitor</t>
  </si>
  <si>
    <t>Season fees</t>
  </si>
  <si>
    <t>WATER</t>
  </si>
  <si>
    <t>Gelding</t>
  </si>
  <si>
    <t>Bitch</t>
  </si>
  <si>
    <t>Sterilised bitch</t>
  </si>
  <si>
    <t>Rental Buildings</t>
  </si>
  <si>
    <t>Old Standard Bank Building</t>
  </si>
  <si>
    <t>Garages</t>
  </si>
  <si>
    <t>Long term</t>
  </si>
  <si>
    <t>Office Space</t>
  </si>
  <si>
    <t>All offices</t>
  </si>
  <si>
    <t>Chreches</t>
  </si>
  <si>
    <t>Rental Houses</t>
  </si>
  <si>
    <t>House1: Williston</t>
  </si>
  <si>
    <t>House 2: Williston</t>
  </si>
  <si>
    <t>House 3: Fraserburg</t>
  </si>
  <si>
    <t>Other houses and buildings</t>
  </si>
  <si>
    <t>Kraaines Houses 2</t>
  </si>
  <si>
    <t>Flat 1: Library</t>
  </si>
  <si>
    <t>Flat 2: Library</t>
  </si>
  <si>
    <t>House 1</t>
  </si>
  <si>
    <t>House 2</t>
  </si>
  <si>
    <t>Short term</t>
  </si>
  <si>
    <t>Deposits</t>
  </si>
  <si>
    <t>Library Hall Fraserburg and Ammerville</t>
  </si>
  <si>
    <t>Ammerville Community Hall</t>
  </si>
  <si>
    <t>Other functions</t>
  </si>
  <si>
    <t>Weddings,parties and dances</t>
  </si>
  <si>
    <t>Dances and weddings</t>
  </si>
  <si>
    <t>Key deposit</t>
  </si>
  <si>
    <t>Tables per table(Only in KHM buildings)</t>
  </si>
  <si>
    <t>Fraserburg Community Hall</t>
  </si>
  <si>
    <t>Kitchen only</t>
  </si>
  <si>
    <t>All other</t>
  </si>
  <si>
    <t>Alcohol sales (in addition to hall)</t>
  </si>
  <si>
    <t>ADMINISTRATIVE FEES</t>
  </si>
  <si>
    <t>Municipal Accounts</t>
  </si>
  <si>
    <t>Summary of accounts per annum</t>
  </si>
  <si>
    <t>Print of additional accounts per page</t>
  </si>
  <si>
    <t>Faxes</t>
  </si>
  <si>
    <t>1 Page</t>
  </si>
  <si>
    <t>Receive per page</t>
  </si>
  <si>
    <t>Per page after 1st page</t>
  </si>
  <si>
    <t>Photostats</t>
  </si>
  <si>
    <t>Certificates</t>
  </si>
  <si>
    <t>Valuation Certificate</t>
  </si>
  <si>
    <t>Clearance Certificate</t>
  </si>
  <si>
    <t>Building Fees</t>
  </si>
  <si>
    <t>Churches,houses and Creches</t>
  </si>
  <si>
    <t>Penalty on non submission of building plans</t>
  </si>
  <si>
    <t>GENERAL</t>
  </si>
  <si>
    <t>Site usage adjustments</t>
  </si>
  <si>
    <t>Basic Application fee</t>
  </si>
  <si>
    <t>Zoning Certificate</t>
  </si>
  <si>
    <t>Website levy</t>
  </si>
  <si>
    <t>Fraserburg Old Clinic</t>
  </si>
  <si>
    <t>Fraserburg and Williston rental of sportgrounds deposit</t>
  </si>
  <si>
    <t>Fraserburg and Williston rental of sportgrounds per day</t>
  </si>
  <si>
    <t>Fraserburg and Williston rental of sportgrounds (lights) per function</t>
  </si>
  <si>
    <t>Partial rental of sportgrounds at Williston by the Department</t>
  </si>
  <si>
    <t xml:space="preserve">Access to information application </t>
  </si>
  <si>
    <t>Access to information application  per page</t>
  </si>
  <si>
    <t>Proof of address</t>
  </si>
  <si>
    <t>Sundry</t>
  </si>
  <si>
    <t>SEWERAGE</t>
  </si>
  <si>
    <t>ELECTRICITY</t>
  </si>
  <si>
    <t>Old age homes 20 % reduction on all services</t>
  </si>
  <si>
    <t>Old age homes electricity unit tariff is the same as indigent consumers</t>
  </si>
  <si>
    <t>Old age homes 100 % reduction on rates and taxes</t>
  </si>
  <si>
    <t>Indigent consumers to receive 50 KWh electricity free of charge per month</t>
  </si>
  <si>
    <t>Indigent consumers to receive 6 Kl water free of charge per month</t>
  </si>
  <si>
    <t>KAROO HOOGLAND  - TARIFFS (Excluding VAT)</t>
  </si>
  <si>
    <t>Rental of grounds Special tariffs</t>
  </si>
  <si>
    <t>All services after hours except for sanitation</t>
  </si>
  <si>
    <t>Indigent 100 % subsidy on household income less than R 2860.00 per month</t>
  </si>
  <si>
    <t>Indigent 50 % subsidy on household income less than R 4290.00 per month</t>
  </si>
  <si>
    <t>Property Rates: Indigents 100% and 50%</t>
  </si>
  <si>
    <t xml:space="preserve">                        Indigent R 30 000 excempted on market value relating to rates and taxes.</t>
  </si>
  <si>
    <t xml:space="preserve">                        In addition to the R 30 000 excempted on the market value another 75% of the Market Value is a reduction.</t>
  </si>
  <si>
    <t>R 30 000 excempted and 75% on market value</t>
  </si>
  <si>
    <t>Munisipale Rekeninge en dokumente</t>
  </si>
  <si>
    <t>2016/2017</t>
  </si>
  <si>
    <t>Suigtenke: Ander Heffing per trek</t>
  </si>
  <si>
    <t>Suigtenke: Ander Heffing per km (Maksimum van 10 Km grondpad)</t>
  </si>
  <si>
    <t>Verbruikers Deposito</t>
  </si>
  <si>
    <t>Toegang tot inligting aansoeke (PAIA)</t>
  </si>
  <si>
    <t>Duplisering van navrae dokumentasie</t>
  </si>
  <si>
    <t>Sien aangehegte Aanhangsel B</t>
  </si>
  <si>
    <t>Museum Fooie</t>
  </si>
  <si>
    <t>Volwassenes</t>
  </si>
  <si>
    <t>Skoliere</t>
  </si>
  <si>
    <t>Groepe meer as 5 persone</t>
  </si>
  <si>
    <t>Munisipale Afgekondigde Droogte Tyd heffing bo 50 kl verbruik</t>
  </si>
  <si>
    <t>Aansoeke</t>
  </si>
  <si>
    <t xml:space="preserve">Die prepaid tarief vir besighede word bepaal na drie maande se geskiedenis </t>
  </si>
  <si>
    <t xml:space="preserve">van verbruik. n Skattings tarief word gebruik vir die eerste drie maande en </t>
  </si>
  <si>
    <t>indien nodig word die tarief na drie maande aangepas.</t>
  </si>
  <si>
    <t>2017/2018</t>
  </si>
  <si>
    <t>E004,E037,E038,E001,E050,E019 &amp; E076</t>
  </si>
  <si>
    <t>Prepaid 3Fase Gemeenskap Sportsgronde</t>
  </si>
  <si>
    <t>E005</t>
  </si>
  <si>
    <t>Pre-Paid enkelfase Williston Hotel Danssaal</t>
  </si>
  <si>
    <t>Pre-Paid enkelfase Fraserburg Meat Market</t>
  </si>
  <si>
    <t>E154</t>
  </si>
  <si>
    <t>E086</t>
  </si>
  <si>
    <t>Prepaid 3 fase verbruikers  Restuarante te Williston</t>
  </si>
  <si>
    <t>E151</t>
  </si>
  <si>
    <t>E500,E001</t>
  </si>
  <si>
    <t>Straatligte</t>
  </si>
  <si>
    <t>E012</t>
  </si>
  <si>
    <t>Boetes tuinvullis buite vulliskampies</t>
  </si>
  <si>
    <t>Boetes vandalisme</t>
  </si>
  <si>
    <t>Kennisgewing op rekening</t>
  </si>
  <si>
    <t>Verhuring van stoele (per Stoel)</t>
  </si>
  <si>
    <t>2018/2019</t>
  </si>
  <si>
    <t>Fraserburg Ou Kliniek per tender Instandhouding vir Tenderaar</t>
  </si>
  <si>
    <t>TARIEWE BTW UITGESLUIT</t>
  </si>
  <si>
    <t>Old Age homes 20% Discount</t>
  </si>
  <si>
    <t>has been regsitered. An estimated tariff are used for the first 3 months</t>
  </si>
  <si>
    <t>The prepaid tariff for businesses are determined when 3 months consumption</t>
  </si>
  <si>
    <t>and if applicable the tariff will be adjusted</t>
  </si>
  <si>
    <t>Grondgebruik veranderinge</t>
  </si>
  <si>
    <t>Kapitale bydraes tot dienste (Beleid)* Soos bepaal deur Raad</t>
  </si>
  <si>
    <t>Algemene Verbruikers Maks 80 Ampere</t>
  </si>
  <si>
    <t>Pre-Paid enkelfase 30 A PEP</t>
  </si>
  <si>
    <t>Pre-Paid enkelfase 30 A Busy Bee</t>
  </si>
  <si>
    <t>E093</t>
  </si>
  <si>
    <t>E095</t>
  </si>
  <si>
    <t>TARIEWE (BTW UITGESLUIT)</t>
  </si>
  <si>
    <t>2019/2020</t>
  </si>
  <si>
    <t>Ander funksies</t>
  </si>
  <si>
    <t>Stadsaal Fraserburg</t>
  </si>
  <si>
    <t>30 AMP</t>
  </si>
  <si>
    <t>Huis Winkels per jaar heffing</t>
  </si>
  <si>
    <t>2020/2021</t>
  </si>
  <si>
    <t>Tenderfooie (Vat Inclusive)</t>
  </si>
  <si>
    <t>2021/2022</t>
  </si>
  <si>
    <t>Biblioteeksaal Fraserburg, Ammerville en Williston</t>
  </si>
  <si>
    <t>Motorhuise BIB Fraserburg</t>
  </si>
  <si>
    <t>Kleuterskole:</t>
  </si>
  <si>
    <t>Kantoorspasie:</t>
  </si>
  <si>
    <t>Woning 1: Fraserburg langs Stadsaal</t>
  </si>
  <si>
    <t>Woning 1: Sutherland A Gibbons</t>
  </si>
  <si>
    <t>Woning 2: Sutherland JN van Sittert</t>
  </si>
  <si>
    <t>ANDER GROND /ERWE</t>
  </si>
  <si>
    <t>m.a.w. 30 x 20.57 = R 617.10</t>
  </si>
  <si>
    <t>m.a.w. 60 x 21.86 = R 1311.60</t>
  </si>
  <si>
    <t>Maand tarief (maks 4 persone)</t>
  </si>
  <si>
    <t>2022/2023</t>
  </si>
  <si>
    <t>60 AMP</t>
  </si>
  <si>
    <t>m.a.w. 30 x 32.0278 = R   960.83</t>
  </si>
  <si>
    <t>m.a.w. 15 x 32.078 = R   480.42</t>
  </si>
  <si>
    <t>m.a.w. 45 x 32.0278 = R   1441.25</t>
  </si>
  <si>
    <t>m.a.w. 60 x 32.0278 = R  1921.67</t>
  </si>
  <si>
    <t>m.a.w. 90 x 32.0278 = R  2882.5</t>
  </si>
  <si>
    <t>m.a.w. 120 x 32.0278 = R  3843.34</t>
  </si>
  <si>
    <t>m.a.w. 150 x 32.0278 = R  4804.17</t>
  </si>
  <si>
    <t>3 x 5Amp  =  15Amp x R 45.4246 = R   681.37</t>
  </si>
  <si>
    <t>3 x 10Amp = 30Amp x R 45.4246 = R   1362.74</t>
  </si>
  <si>
    <t>3 x 15Amp = 45Amp x R 45.4246 = R   2044.11</t>
  </si>
  <si>
    <t>3 x 20Amp = 60Amp x R 45.4246  = R 2725.48</t>
  </si>
  <si>
    <t>3 x 30Amp =   90Amp x R 53.2982  = R 4796.84</t>
  </si>
  <si>
    <t>3 x 40Amp = 120Amp x R 53.2982 = R 6395.78</t>
  </si>
  <si>
    <t>3 x 50Amp = 150Amp x R 53.2982 = R 7994.73</t>
  </si>
  <si>
    <t>3 x 60Amp = 180Amp x R 53.2982  = R 9593.68</t>
  </si>
  <si>
    <t>3 x 80Amp = 240Amp x R 53.2982 = R 12791.57</t>
  </si>
  <si>
    <t>Wendy huis oprigting aansoek fooie</t>
  </si>
  <si>
    <t>Ou Kliniek gebou,Fraserburg</t>
  </si>
  <si>
    <t>Woonstel 1: Biblioteek, Groot</t>
  </si>
  <si>
    <t>Woonstel 2: Biblioteek, Klein</t>
  </si>
  <si>
    <t>Sien aangehegte SPLUMA tariewe + 4.8%</t>
  </si>
  <si>
    <t>Webwerfheffing (Eenmalige lys tarief)</t>
  </si>
  <si>
    <t>ANC Constituency, Gebou by Ammerville Gemeenskapsaal Kompleks</t>
  </si>
  <si>
    <t>Dept Maatskaplike Dienste, Gebou by Ammerville Gemeenskapsaal Kompleks</t>
  </si>
  <si>
    <t>Fraserburg Aanbiddingsgroep, Biblioteeksaal, Fraserburg</t>
  </si>
  <si>
    <t>Wakiwe Stakeholders, Munisipale gebou - kantoor, Sutherland</t>
  </si>
  <si>
    <t xml:space="preserve">Avum Investments,Tennishuisie&amp;Jukskeiklub, Sutherland </t>
  </si>
  <si>
    <t>Mona Lisa, Gebou by Ammerville Gemeenskapsaal Kompleks</t>
  </si>
  <si>
    <t xml:space="preserve">ACVV Melktandjies, Absa gebou, Fraserburg </t>
  </si>
  <si>
    <t>IEC, Sutherland Ou Toerisme Gebou,  1 Jul 2022 tot Des 2023</t>
  </si>
  <si>
    <t>De Witt Hodgson &amp; Vennoot, Gedeelte van Werkswinkel, Williston</t>
  </si>
  <si>
    <t>Ou Standard Bank Gebou (SASSA Renovate Self)</t>
  </si>
  <si>
    <t xml:space="preserve"> </t>
  </si>
  <si>
    <t>Wilson Malho, Erf 857, Williston - Nywerheidserf</t>
  </si>
  <si>
    <t>C&amp;J Beverages, Ou Gemeenskapsaal Gebou(Erf 376), Williston</t>
  </si>
  <si>
    <t>Woning 3: Williston HC Nel, Erf 278</t>
  </si>
  <si>
    <t>Woning 2: Williston J Vlok, Erf 277</t>
  </si>
  <si>
    <t>Woning 1: Williston D Malan, Erf 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</si>
</sst>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.00_-;\-* #,##0.00_-;_-* &quot;-&quot;??_-;_-@_-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&quot;R&quot;\ #,##0_);[Red]\(&quot;R&quot;\ #,##0\)"/>
    <numFmt numFmtId="168" formatCode="&quot;R&quot;\ #,##0.00_);[Red]\(&quot;R&quot;\ #,##0.00\)"/>
    <numFmt numFmtId="169" formatCode="_ * #,##0.000000_ ;_ * \-#,##0.000000_ ;_ * &quot;-&quot;??_ ;_ @_ "/>
    <numFmt numFmtId="170" formatCode="_ [$R-1C09]\ * #,##0.00_ ;_ [$R-1C09]\ * \-#,##0.00_ ;_ [$R-1C09]\ * &quot;-&quot;??_ ;_ @_ "/>
    <numFmt numFmtId="171" formatCode="0.0"/>
    <numFmt numFmtId="172" formatCode="_(* #,##0.000000_);_(* \(#,##0.000000\);_(* &quot;-&quot;??????_);_(@_)"/>
    <numFmt numFmtId="173" formatCode="_ [$R-1C09]\ * #,##0.000000_ ;_ [$R-1C09]\ * \-#,##0.000000_ ;_ [$R-1C09]\ * &quot;-&quot;??????_ ;_ @_ "/>
    <numFmt numFmtId="174" formatCode="_ * #,##0.0000_ ;_ * \-#,##0.0000_ ;_ * &quot;-&quot;????_ ;_ @_ "/>
    <numFmt numFmtId="175" formatCode="_-* #,##0.0000_-;\-* #,##0.0000_-;_-* &quot;-&quot;????_-;_-@_-"/>
    <numFmt numFmtId="176" formatCode="_(* #,##0.0000000_);_(* \(#,##0.0000000\);_(* &quot;-&quot;???????_);_(@_)"/>
    <numFmt numFmtId="177" formatCode="_(* #,##0.0000_);_(* \(#,##0.0000\);_(* &quot;-&quot;????_);_(@_)"/>
    <numFmt numFmtId="178" formatCode="_-* #,##0.0000_-;\-* #,##0.0000_-;_-* &quot;-&quot;??_-;_-@_-"/>
    <numFmt numFmtId="179" formatCode="_ * #,##0.0000_ ;_ * \-#,##0.0000_ ;_ * &quot;-&quot;??_ ;_ @_ "/>
    <numFmt numFmtId="180" formatCode="_-* #,##0.000000_-;\-* #,##0.000000_-;_-* &quot;-&quot;??_-;_-@_-"/>
    <numFmt numFmtId="181" formatCode="_-* #,##0.0000000_-;\-* #,##0.0000000_-;_-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 Rounded MT Bold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9">
    <xf numFmtId="0" fontId="0" fillId="0" borderId="0" xfId="0"/>
    <xf numFmtId="166" fontId="0" fillId="0" borderId="0" xfId="0" applyNumberFormat="1"/>
    <xf numFmtId="0" fontId="1" fillId="0" borderId="0" xfId="0" applyFont="1"/>
    <xf numFmtId="166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1" applyFont="1"/>
    <xf numFmtId="166" fontId="0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66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6" fillId="0" borderId="0" xfId="0" applyFont="1"/>
    <xf numFmtId="0" fontId="2" fillId="0" borderId="0" xfId="0" applyFont="1"/>
    <xf numFmtId="0" fontId="4" fillId="0" borderId="1" xfId="0" applyFont="1" applyBorder="1"/>
    <xf numFmtId="166" fontId="0" fillId="0" borderId="0" xfId="1" applyFont="1" applyFill="1" applyBorder="1"/>
    <xf numFmtId="0" fontId="0" fillId="0" borderId="9" xfId="0" applyBorder="1"/>
    <xf numFmtId="0" fontId="0" fillId="0" borderId="10" xfId="0" applyBorder="1"/>
    <xf numFmtId="10" fontId="0" fillId="0" borderId="2" xfId="0" applyNumberFormat="1" applyBorder="1"/>
    <xf numFmtId="0" fontId="4" fillId="0" borderId="2" xfId="0" applyFont="1" applyBorder="1" applyAlignment="1">
      <alignment horizontal="right"/>
    </xf>
    <xf numFmtId="2" fontId="0" fillId="0" borderId="2" xfId="0" applyNumberFormat="1" applyBorder="1"/>
    <xf numFmtId="166" fontId="3" fillId="0" borderId="0" xfId="1" applyFont="1" applyFill="1" applyBorder="1" applyAlignment="1">
      <alignment horizontal="center"/>
    </xf>
    <xf numFmtId="170" fontId="0" fillId="0" borderId="0" xfId="1" applyNumberFormat="1" applyFont="1" applyFill="1" applyBorder="1"/>
    <xf numFmtId="170" fontId="4" fillId="0" borderId="0" xfId="1" applyNumberFormat="1" applyFont="1" applyFill="1" applyBorder="1"/>
    <xf numFmtId="166" fontId="3" fillId="0" borderId="0" xfId="1" applyFont="1" applyFill="1" applyBorder="1"/>
    <xf numFmtId="166" fontId="4" fillId="0" borderId="0" xfId="1" applyFont="1" applyFill="1" applyBorder="1"/>
    <xf numFmtId="166" fontId="3" fillId="0" borderId="0" xfId="1" applyFont="1" applyFill="1" applyBorder="1" applyAlignment="1">
      <alignment horizontal="right"/>
    </xf>
    <xf numFmtId="43" fontId="0" fillId="0" borderId="0" xfId="0" applyNumberFormat="1"/>
    <xf numFmtId="166" fontId="1" fillId="0" borderId="0" xfId="1" applyFont="1" applyFill="1" applyBorder="1"/>
    <xf numFmtId="166" fontId="0" fillId="0" borderId="4" xfId="1" applyFont="1" applyFill="1" applyBorder="1"/>
    <xf numFmtId="169" fontId="0" fillId="0" borderId="0" xfId="1" applyNumberFormat="1" applyFont="1" applyFill="1" applyBorder="1"/>
    <xf numFmtId="166" fontId="0" fillId="0" borderId="0" xfId="1" applyFont="1" applyFill="1" applyBorder="1" applyAlignment="1">
      <alignment horizontal="center"/>
    </xf>
    <xf numFmtId="166" fontId="1" fillId="0" borderId="0" xfId="1" applyFont="1" applyFill="1" applyBorder="1" applyAlignment="1">
      <alignment horizontal="center"/>
    </xf>
    <xf numFmtId="166" fontId="4" fillId="0" borderId="0" xfId="1" applyFont="1" applyFill="1" applyBorder="1" applyAlignment="1">
      <alignment horizontal="center"/>
    </xf>
    <xf numFmtId="166" fontId="4" fillId="0" borderId="0" xfId="1" quotePrefix="1" applyFont="1" applyFill="1" applyBorder="1"/>
    <xf numFmtId="166" fontId="0" fillId="0" borderId="0" xfId="1" applyFont="1" applyFill="1"/>
    <xf numFmtId="166" fontId="3" fillId="2" borderId="8" xfId="1" applyFont="1" applyFill="1" applyBorder="1"/>
    <xf numFmtId="166" fontId="0" fillId="2" borderId="0" xfId="1" applyFont="1" applyFill="1" applyBorder="1"/>
    <xf numFmtId="166" fontId="4" fillId="2" borderId="0" xfId="1" applyFont="1" applyFill="1" applyBorder="1" applyAlignment="1">
      <alignment horizontal="right"/>
    </xf>
    <xf numFmtId="166" fontId="0" fillId="2" borderId="4" xfId="1" applyFont="1" applyFill="1" applyBorder="1"/>
    <xf numFmtId="0" fontId="8" fillId="0" borderId="0" xfId="0" applyFont="1"/>
    <xf numFmtId="166" fontId="3" fillId="0" borderId="0" xfId="1" quotePrefix="1" applyFont="1" applyBorder="1" applyAlignment="1">
      <alignment horizontal="center"/>
    </xf>
    <xf numFmtId="166" fontId="3" fillId="2" borderId="0" xfId="1" applyFont="1" applyFill="1" applyBorder="1"/>
    <xf numFmtId="0" fontId="0" fillId="0" borderId="11" xfId="0" applyBorder="1"/>
    <xf numFmtId="0" fontId="2" fillId="0" borderId="1" xfId="0" applyFont="1" applyBorder="1"/>
    <xf numFmtId="2" fontId="0" fillId="0" borderId="4" xfId="0" applyNumberFormat="1" applyBorder="1"/>
    <xf numFmtId="166" fontId="0" fillId="2" borderId="10" xfId="1" applyFont="1" applyFill="1" applyBorder="1"/>
    <xf numFmtId="166" fontId="0" fillId="0" borderId="4" xfId="1" applyFont="1" applyBorder="1"/>
    <xf numFmtId="169" fontId="0" fillId="0" borderId="10" xfId="1" applyNumberFormat="1" applyFont="1" applyFill="1" applyBorder="1"/>
    <xf numFmtId="166" fontId="0" fillId="0" borderId="4" xfId="1" applyFont="1" applyFill="1" applyBorder="1" applyAlignment="1">
      <alignment horizontal="center"/>
    </xf>
    <xf numFmtId="0" fontId="3" fillId="0" borderId="2" xfId="0" applyFont="1" applyBorder="1"/>
    <xf numFmtId="166" fontId="3" fillId="0" borderId="6" xfId="1" applyFont="1" applyFill="1" applyBorder="1" applyAlignment="1">
      <alignment horizontal="center"/>
    </xf>
    <xf numFmtId="166" fontId="3" fillId="0" borderId="0" xfId="0" applyNumberFormat="1" applyFont="1" applyAlignment="1">
      <alignment horizontal="right"/>
    </xf>
    <xf numFmtId="166" fontId="3" fillId="0" borderId="8" xfId="1" quotePrefix="1" applyFont="1" applyBorder="1" applyAlignment="1">
      <alignment horizontal="center"/>
    </xf>
    <xf numFmtId="166" fontId="4" fillId="0" borderId="0" xfId="1" applyFont="1" applyFill="1" applyBorder="1" applyAlignment="1"/>
    <xf numFmtId="166" fontId="4" fillId="0" borderId="0" xfId="1" quotePrefix="1" applyFont="1" applyFill="1" applyBorder="1" applyAlignment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166" fontId="3" fillId="0" borderId="10" xfId="1" applyFont="1" applyFill="1" applyBorder="1" applyAlignment="1">
      <alignment horizontal="center"/>
    </xf>
    <xf numFmtId="166" fontId="3" fillId="0" borderId="10" xfId="1" applyFont="1" applyFill="1" applyBorder="1"/>
    <xf numFmtId="166" fontId="3" fillId="2" borderId="10" xfId="1" applyFont="1" applyFill="1" applyBorder="1"/>
    <xf numFmtId="0" fontId="3" fillId="0" borderId="11" xfId="0" applyFont="1" applyBorder="1"/>
    <xf numFmtId="166" fontId="1" fillId="0" borderId="0" xfId="1" applyFont="1" applyBorder="1"/>
    <xf numFmtId="166" fontId="1" fillId="0" borderId="0" xfId="1" quotePrefix="1" applyFont="1" applyFill="1" applyBorder="1"/>
    <xf numFmtId="166" fontId="1" fillId="2" borderId="0" xfId="1" applyFont="1" applyFill="1" applyBorder="1" applyAlignment="1">
      <alignment horizontal="right"/>
    </xf>
    <xf numFmtId="166" fontId="1" fillId="2" borderId="0" xfId="1" applyFont="1" applyFill="1" applyBorder="1"/>
    <xf numFmtId="166" fontId="3" fillId="0" borderId="6" xfId="1" quotePrefix="1" applyFont="1" applyFill="1" applyBorder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right"/>
    </xf>
    <xf numFmtId="166" fontId="3" fillId="2" borderId="2" xfId="1" applyFont="1" applyFill="1" applyBorder="1"/>
    <xf numFmtId="43" fontId="0" fillId="0" borderId="2" xfId="0" applyNumberFormat="1" applyBorder="1"/>
    <xf numFmtId="172" fontId="0" fillId="2" borderId="0" xfId="1" applyNumberFormat="1" applyFont="1" applyFill="1" applyBorder="1"/>
    <xf numFmtId="166" fontId="3" fillId="0" borderId="8" xfId="1" applyFont="1" applyFill="1" applyBorder="1"/>
    <xf numFmtId="166" fontId="3" fillId="0" borderId="2" xfId="1" applyFont="1" applyFill="1" applyBorder="1"/>
    <xf numFmtId="166" fontId="4" fillId="0" borderId="0" xfId="1" applyFont="1" applyFill="1" applyBorder="1" applyAlignment="1">
      <alignment horizontal="right"/>
    </xf>
    <xf numFmtId="166" fontId="3" fillId="0" borderId="8" xfId="1" quotePrefix="1" applyFont="1" applyFill="1" applyBorder="1"/>
    <xf numFmtId="166" fontId="3" fillId="0" borderId="8" xfId="1" quotePrefix="1" applyFont="1" applyFill="1" applyBorder="1" applyAlignment="1">
      <alignment horizontal="center"/>
    </xf>
    <xf numFmtId="166" fontId="3" fillId="0" borderId="0" xfId="1" quotePrefix="1" applyFont="1" applyFill="1" applyBorder="1" applyAlignment="1">
      <alignment horizontal="center"/>
    </xf>
    <xf numFmtId="166" fontId="3" fillId="0" borderId="0" xfId="1" quotePrefix="1" applyFont="1" applyFill="1" applyBorder="1"/>
    <xf numFmtId="166" fontId="0" fillId="0" borderId="2" xfId="1" applyFont="1" applyBorder="1"/>
    <xf numFmtId="171" fontId="0" fillId="0" borderId="0" xfId="0" applyNumberFormat="1"/>
    <xf numFmtId="166" fontId="3" fillId="0" borderId="2" xfId="1" quotePrefix="1" applyFont="1" applyBorder="1" applyAlignment="1">
      <alignment horizontal="center"/>
    </xf>
    <xf numFmtId="166" fontId="0" fillId="0" borderId="2" xfId="1" applyFont="1" applyFill="1" applyBorder="1"/>
    <xf numFmtId="170" fontId="0" fillId="0" borderId="2" xfId="1" applyNumberFormat="1" applyFont="1" applyFill="1" applyBorder="1"/>
    <xf numFmtId="43" fontId="1" fillId="0" borderId="0" xfId="0" applyNumberFormat="1" applyFont="1"/>
    <xf numFmtId="170" fontId="4" fillId="0" borderId="2" xfId="1" applyNumberFormat="1" applyFont="1" applyFill="1" applyBorder="1"/>
    <xf numFmtId="166" fontId="0" fillId="0" borderId="5" xfId="1" applyFont="1" applyFill="1" applyBorder="1"/>
    <xf numFmtId="166" fontId="3" fillId="0" borderId="2" xfId="1" quotePrefix="1" applyFont="1" applyFill="1" applyBorder="1" applyAlignment="1">
      <alignment horizontal="center"/>
    </xf>
    <xf numFmtId="43" fontId="0" fillId="0" borderId="0" xfId="1" applyNumberFormat="1" applyFont="1" applyFill="1" applyBorder="1"/>
    <xf numFmtId="167" fontId="0" fillId="0" borderId="0" xfId="0" applyNumberFormat="1"/>
    <xf numFmtId="166" fontId="4" fillId="0" borderId="2" xfId="1" quotePrefix="1" applyFont="1" applyFill="1" applyBorder="1" applyAlignment="1"/>
    <xf numFmtId="166" fontId="4" fillId="0" borderId="2" xfId="1" quotePrefix="1" applyFont="1" applyFill="1" applyBorder="1"/>
    <xf numFmtId="169" fontId="0" fillId="0" borderId="2" xfId="1" applyNumberFormat="1" applyFont="1" applyFill="1" applyBorder="1"/>
    <xf numFmtId="166" fontId="0" fillId="0" borderId="5" xfId="1" applyFont="1" applyBorder="1"/>
    <xf numFmtId="169" fontId="0" fillId="0" borderId="11" xfId="1" applyNumberFormat="1" applyFont="1" applyFill="1" applyBorder="1"/>
    <xf numFmtId="166" fontId="3" fillId="0" borderId="11" xfId="1" applyFont="1" applyFill="1" applyBorder="1"/>
    <xf numFmtId="166" fontId="3" fillId="0" borderId="8" xfId="1" applyFont="1" applyFill="1" applyBorder="1" applyAlignment="1">
      <alignment horizontal="center"/>
    </xf>
    <xf numFmtId="166" fontId="3" fillId="0" borderId="2" xfId="1" quotePrefix="1" applyFont="1" applyFill="1" applyBorder="1"/>
    <xf numFmtId="166" fontId="1" fillId="0" borderId="2" xfId="1" applyFont="1" applyFill="1" applyBorder="1"/>
    <xf numFmtId="166" fontId="1" fillId="0" borderId="2" xfId="1" quotePrefix="1" applyFont="1" applyFill="1" applyBorder="1"/>
    <xf numFmtId="170" fontId="0" fillId="0" borderId="12" xfId="1" applyNumberFormat="1" applyFont="1" applyFill="1" applyBorder="1"/>
    <xf numFmtId="170" fontId="4" fillId="0" borderId="12" xfId="1" applyNumberFormat="1" applyFont="1" applyFill="1" applyBorder="1" applyAlignment="1">
      <alignment horizontal="right"/>
    </xf>
    <xf numFmtId="166" fontId="0" fillId="0" borderId="12" xfId="1" applyFont="1" applyFill="1" applyBorder="1"/>
    <xf numFmtId="166" fontId="3" fillId="0" borderId="12" xfId="1" applyFont="1" applyFill="1" applyBorder="1"/>
    <xf numFmtId="169" fontId="0" fillId="0" borderId="12" xfId="1" applyNumberFormat="1" applyFont="1" applyFill="1" applyBorder="1"/>
    <xf numFmtId="9" fontId="0" fillId="0" borderId="12" xfId="1" applyNumberFormat="1" applyFont="1" applyFill="1" applyBorder="1"/>
    <xf numFmtId="9" fontId="0" fillId="0" borderId="12" xfId="2" applyFont="1" applyFill="1" applyBorder="1"/>
    <xf numFmtId="166" fontId="0" fillId="0" borderId="12" xfId="1" applyFont="1" applyBorder="1"/>
    <xf numFmtId="166" fontId="1" fillId="0" borderId="12" xfId="1" applyFont="1" applyFill="1" applyBorder="1" applyAlignment="1">
      <alignment horizontal="center"/>
    </xf>
    <xf numFmtId="166" fontId="0" fillId="0" borderId="12" xfId="1" applyFont="1" applyFill="1" applyBorder="1" applyAlignment="1">
      <alignment horizontal="center"/>
    </xf>
    <xf numFmtId="166" fontId="1" fillId="0" borderId="12" xfId="1" applyFont="1" applyFill="1" applyBorder="1"/>
    <xf numFmtId="166" fontId="1" fillId="0" borderId="12" xfId="1" quotePrefix="1" applyFont="1" applyFill="1" applyBorder="1"/>
    <xf numFmtId="170" fontId="0" fillId="0" borderId="13" xfId="1" applyNumberFormat="1" applyFont="1" applyFill="1" applyBorder="1"/>
    <xf numFmtId="170" fontId="4" fillId="0" borderId="13" xfId="1" applyNumberFormat="1" applyFont="1" applyFill="1" applyBorder="1" applyAlignment="1">
      <alignment horizontal="right"/>
    </xf>
    <xf numFmtId="166" fontId="0" fillId="0" borderId="13" xfId="1" applyFont="1" applyFill="1" applyBorder="1"/>
    <xf numFmtId="166" fontId="1" fillId="0" borderId="13" xfId="1" quotePrefix="1" applyFont="1" applyFill="1" applyBorder="1" applyAlignment="1">
      <alignment horizontal="center"/>
    </xf>
    <xf numFmtId="169" fontId="0" fillId="0" borderId="13" xfId="1" applyNumberFormat="1" applyFont="1" applyFill="1" applyBorder="1"/>
    <xf numFmtId="9" fontId="0" fillId="0" borderId="13" xfId="2" applyFont="1" applyFill="1" applyBorder="1"/>
    <xf numFmtId="166" fontId="1" fillId="0" borderId="13" xfId="1" applyFont="1" applyFill="1" applyBorder="1"/>
    <xf numFmtId="166" fontId="3" fillId="0" borderId="14" xfId="1" applyFont="1" applyFill="1" applyBorder="1" applyAlignment="1">
      <alignment horizontal="center"/>
    </xf>
    <xf numFmtId="0" fontId="1" fillId="0" borderId="2" xfId="0" applyFont="1" applyBorder="1"/>
    <xf numFmtId="166" fontId="0" fillId="0" borderId="15" xfId="1" applyFont="1" applyFill="1" applyBorder="1"/>
    <xf numFmtId="166" fontId="0" fillId="2" borderId="12" xfId="1" applyFont="1" applyFill="1" applyBorder="1"/>
    <xf numFmtId="0" fontId="0" fillId="0" borderId="12" xfId="0" applyBorder="1"/>
    <xf numFmtId="166" fontId="0" fillId="0" borderId="10" xfId="1" applyFont="1" applyFill="1" applyBorder="1"/>
    <xf numFmtId="166" fontId="4" fillId="0" borderId="16" xfId="1" applyFont="1" applyFill="1" applyBorder="1"/>
    <xf numFmtId="166" fontId="0" fillId="0" borderId="16" xfId="1" applyFont="1" applyFill="1" applyBorder="1"/>
    <xf numFmtId="166" fontId="0" fillId="0" borderId="17" xfId="1" applyFont="1" applyFill="1" applyBorder="1"/>
    <xf numFmtId="166" fontId="4" fillId="0" borderId="0" xfId="1" applyFont="1" applyBorder="1"/>
    <xf numFmtId="0" fontId="4" fillId="0" borderId="2" xfId="0" applyFont="1" applyBorder="1"/>
    <xf numFmtId="43" fontId="0" fillId="0" borderId="12" xfId="0" applyNumberFormat="1" applyBorder="1"/>
    <xf numFmtId="170" fontId="3" fillId="0" borderId="0" xfId="1" quotePrefix="1" applyNumberFormat="1" applyFont="1" applyBorder="1" applyAlignment="1">
      <alignment horizontal="center"/>
    </xf>
    <xf numFmtId="0" fontId="8" fillId="0" borderId="1" xfId="0" applyFont="1" applyBorder="1"/>
    <xf numFmtId="166" fontId="0" fillId="0" borderId="20" xfId="1" applyFont="1" applyFill="1" applyBorder="1"/>
    <xf numFmtId="0" fontId="8" fillId="0" borderId="9" xfId="0" applyFont="1" applyBorder="1"/>
    <xf numFmtId="0" fontId="3" fillId="0" borderId="4" xfId="0" applyFont="1" applyBorder="1"/>
    <xf numFmtId="166" fontId="4" fillId="0" borderId="4" xfId="0" applyNumberFormat="1" applyFont="1" applyBorder="1"/>
    <xf numFmtId="0" fontId="1" fillId="0" borderId="4" xfId="0" applyFont="1" applyBorder="1"/>
    <xf numFmtId="166" fontId="0" fillId="0" borderId="4" xfId="0" applyNumberFormat="1" applyBorder="1" applyAlignment="1">
      <alignment horizontal="right"/>
    </xf>
    <xf numFmtId="166" fontId="4" fillId="0" borderId="12" xfId="1" quotePrefix="1" applyFont="1" applyFill="1" applyBorder="1"/>
    <xf numFmtId="166" fontId="0" fillId="2" borderId="15" xfId="1" applyFont="1" applyFill="1" applyBorder="1"/>
    <xf numFmtId="0" fontId="0" fillId="0" borderId="15" xfId="0" applyBorder="1"/>
    <xf numFmtId="166" fontId="0" fillId="0" borderId="23" xfId="1" applyFont="1" applyFill="1" applyBorder="1"/>
    <xf numFmtId="166" fontId="0" fillId="0" borderId="24" xfId="1" applyFont="1" applyFill="1" applyBorder="1"/>
    <xf numFmtId="166" fontId="0" fillId="0" borderId="1" xfId="1" applyFont="1" applyFill="1" applyBorder="1"/>
    <xf numFmtId="166" fontId="0" fillId="0" borderId="18" xfId="1" applyFont="1" applyFill="1" applyBorder="1"/>
    <xf numFmtId="166" fontId="1" fillId="0" borderId="25" xfId="1" applyFont="1" applyFill="1" applyBorder="1"/>
    <xf numFmtId="166" fontId="4" fillId="0" borderId="26" xfId="1" quotePrefix="1" applyFont="1" applyFill="1" applyBorder="1"/>
    <xf numFmtId="166" fontId="4" fillId="0" borderId="24" xfId="1" quotePrefix="1" applyFont="1" applyFill="1" applyBorder="1"/>
    <xf numFmtId="166" fontId="0" fillId="0" borderId="26" xfId="1" applyFont="1" applyFill="1" applyBorder="1"/>
    <xf numFmtId="166" fontId="1" fillId="0" borderId="26" xfId="1" applyFont="1" applyFill="1" applyBorder="1"/>
    <xf numFmtId="166" fontId="3" fillId="0" borderId="26" xfId="1" applyFont="1" applyFill="1" applyBorder="1"/>
    <xf numFmtId="166" fontId="1" fillId="0" borderId="26" xfId="1" applyFont="1" applyBorder="1"/>
    <xf numFmtId="166" fontId="4" fillId="0" borderId="23" xfId="1" quotePrefix="1" applyFont="1" applyFill="1" applyBorder="1"/>
    <xf numFmtId="165" fontId="3" fillId="0" borderId="0" xfId="0" applyNumberFormat="1" applyFont="1"/>
    <xf numFmtId="168" fontId="0" fillId="0" borderId="0" xfId="0" applyNumberFormat="1"/>
    <xf numFmtId="168" fontId="0" fillId="0" borderId="4" xfId="0" applyNumberFormat="1" applyBorder="1"/>
    <xf numFmtId="0" fontId="7" fillId="0" borderId="1" xfId="0" applyFont="1" applyBorder="1"/>
    <xf numFmtId="0" fontId="1" fillId="0" borderId="3" xfId="0" applyFont="1" applyBorder="1"/>
    <xf numFmtId="165" fontId="0" fillId="0" borderId="4" xfId="0" applyNumberFormat="1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1" fillId="0" borderId="26" xfId="0" applyFont="1" applyBorder="1"/>
    <xf numFmtId="0" fontId="1" fillId="0" borderId="26" xfId="0" applyFont="1" applyBorder="1" applyAlignment="1">
      <alignment wrapText="1"/>
    </xf>
    <xf numFmtId="0" fontId="1" fillId="0" borderId="28" xfId="0" applyFont="1" applyBorder="1"/>
    <xf numFmtId="0" fontId="3" fillId="0" borderId="6" xfId="0" applyFont="1" applyBorder="1"/>
    <xf numFmtId="0" fontId="0" fillId="0" borderId="14" xfId="0" applyBorder="1"/>
    <xf numFmtId="168" fontId="0" fillId="0" borderId="14" xfId="0" applyNumberFormat="1" applyBorder="1"/>
    <xf numFmtId="0" fontId="1" fillId="0" borderId="8" xfId="0" applyFont="1" applyBorder="1"/>
    <xf numFmtId="0" fontId="0" fillId="0" borderId="28" xfId="0" applyBorder="1" applyAlignment="1">
      <alignment wrapText="1"/>
    </xf>
    <xf numFmtId="0" fontId="0" fillId="0" borderId="26" xfId="0" applyBorder="1" applyAlignment="1">
      <alignment wrapText="1"/>
    </xf>
    <xf numFmtId="0" fontId="7" fillId="0" borderId="9" xfId="0" applyFont="1" applyBorder="1"/>
    <xf numFmtId="168" fontId="0" fillId="0" borderId="10" xfId="0" applyNumberFormat="1" applyBorder="1"/>
    <xf numFmtId="166" fontId="0" fillId="0" borderId="22" xfId="1" applyFont="1" applyFill="1" applyBorder="1"/>
    <xf numFmtId="166" fontId="0" fillId="2" borderId="21" xfId="1" applyFont="1" applyFill="1" applyBorder="1"/>
    <xf numFmtId="166" fontId="0" fillId="2" borderId="29" xfId="1" applyFont="1" applyFill="1" applyBorder="1"/>
    <xf numFmtId="166" fontId="0" fillId="0" borderId="30" xfId="1" applyFont="1" applyFill="1" applyBorder="1"/>
    <xf numFmtId="166" fontId="3" fillId="0" borderId="27" xfId="1" quotePrefix="1" applyFont="1" applyBorder="1" applyAlignment="1">
      <alignment horizontal="center"/>
    </xf>
    <xf numFmtId="170" fontId="0" fillId="0" borderId="23" xfId="1" applyNumberFormat="1" applyFont="1" applyFill="1" applyBorder="1"/>
    <xf numFmtId="170" fontId="0" fillId="0" borderId="26" xfId="1" applyNumberFormat="1" applyFont="1" applyFill="1" applyBorder="1"/>
    <xf numFmtId="170" fontId="4" fillId="0" borderId="23" xfId="1" applyNumberFormat="1" applyFont="1" applyFill="1" applyBorder="1" applyAlignment="1">
      <alignment horizontal="right"/>
    </xf>
    <xf numFmtId="170" fontId="4" fillId="0" borderId="26" xfId="1" applyNumberFormat="1" applyFont="1" applyFill="1" applyBorder="1"/>
    <xf numFmtId="166" fontId="1" fillId="0" borderId="23" xfId="1" applyFont="1" applyFill="1" applyBorder="1"/>
    <xf numFmtId="166" fontId="0" fillId="0" borderId="27" xfId="1" applyFont="1" applyFill="1" applyBorder="1"/>
    <xf numFmtId="166" fontId="3" fillId="0" borderId="26" xfId="1" quotePrefix="1" applyFont="1" applyFill="1" applyBorder="1" applyAlignment="1">
      <alignment horizontal="center"/>
    </xf>
    <xf numFmtId="166" fontId="1" fillId="0" borderId="23" xfId="1" quotePrefix="1" applyFont="1" applyFill="1" applyBorder="1" applyAlignment="1">
      <alignment horizontal="center"/>
    </xf>
    <xf numFmtId="166" fontId="4" fillId="0" borderId="26" xfId="1" quotePrefix="1" applyFont="1" applyFill="1" applyBorder="1" applyAlignment="1"/>
    <xf numFmtId="169" fontId="0" fillId="0" borderId="23" xfId="1" applyNumberFormat="1" applyFont="1" applyFill="1" applyBorder="1"/>
    <xf numFmtId="9" fontId="0" fillId="0" borderId="23" xfId="2" applyFont="1" applyFill="1" applyBorder="1"/>
    <xf numFmtId="169" fontId="0" fillId="0" borderId="26" xfId="1" applyNumberFormat="1" applyFont="1" applyFill="1" applyBorder="1"/>
    <xf numFmtId="166" fontId="0" fillId="0" borderId="26" xfId="1" applyFont="1" applyBorder="1"/>
    <xf numFmtId="0" fontId="0" fillId="0" borderId="18" xfId="0" applyBorder="1"/>
    <xf numFmtId="0" fontId="0" fillId="0" borderId="22" xfId="0" applyBorder="1"/>
    <xf numFmtId="169" fontId="0" fillId="0" borderId="27" xfId="1" applyNumberFormat="1" applyFont="1" applyFill="1" applyBorder="1"/>
    <xf numFmtId="166" fontId="0" fillId="0" borderId="28" xfId="1" applyFont="1" applyFill="1" applyBorder="1"/>
    <xf numFmtId="166" fontId="3" fillId="0" borderId="27" xfId="1" applyFont="1" applyFill="1" applyBorder="1"/>
    <xf numFmtId="166" fontId="3" fillId="0" borderId="26" xfId="1" quotePrefix="1" applyFont="1" applyFill="1" applyBorder="1"/>
    <xf numFmtId="166" fontId="1" fillId="0" borderId="26" xfId="1" quotePrefix="1" applyFont="1" applyFill="1" applyBorder="1"/>
    <xf numFmtId="173" fontId="1" fillId="0" borderId="18" xfId="1" applyNumberFormat="1" applyFont="1" applyFill="1" applyBorder="1" applyAlignment="1">
      <alignment horizontal="center"/>
    </xf>
    <xf numFmtId="173" fontId="1" fillId="0" borderId="19" xfId="1" applyNumberFormat="1" applyFont="1" applyFill="1" applyBorder="1" applyAlignment="1">
      <alignment horizontal="center"/>
    </xf>
    <xf numFmtId="0" fontId="0" fillId="0" borderId="23" xfId="0" applyBorder="1"/>
    <xf numFmtId="0" fontId="0" fillId="0" borderId="30" xfId="0" applyBorder="1"/>
    <xf numFmtId="166" fontId="0" fillId="0" borderId="8" xfId="1" applyFont="1" applyFill="1" applyBorder="1"/>
    <xf numFmtId="166" fontId="0" fillId="0" borderId="7" xfId="1" applyFont="1" applyFill="1" applyBorder="1"/>
    <xf numFmtId="166" fontId="3" fillId="0" borderId="28" xfId="1" quotePrefix="1" applyFont="1" applyBorder="1" applyAlignment="1">
      <alignment horizontal="center"/>
    </xf>
    <xf numFmtId="166" fontId="3" fillId="0" borderId="28" xfId="1" quotePrefix="1" applyFont="1" applyFill="1" applyBorder="1" applyAlignment="1">
      <alignment horizontal="center"/>
    </xf>
    <xf numFmtId="170" fontId="0" fillId="0" borderId="25" xfId="1" applyNumberFormat="1" applyFont="1" applyFill="1" applyBorder="1"/>
    <xf numFmtId="166" fontId="0" fillId="0" borderId="31" xfId="1" applyFont="1" applyFill="1" applyBorder="1"/>
    <xf numFmtId="166" fontId="0" fillId="0" borderId="25" xfId="1" applyFont="1" applyFill="1" applyBorder="1"/>
    <xf numFmtId="166" fontId="0" fillId="0" borderId="32" xfId="1" applyFont="1" applyBorder="1"/>
    <xf numFmtId="0" fontId="0" fillId="0" borderId="32" xfId="0" applyBorder="1"/>
    <xf numFmtId="0" fontId="1" fillId="0" borderId="0" xfId="0" applyFont="1" applyAlignment="1">
      <alignment horizontal="left"/>
    </xf>
    <xf numFmtId="166" fontId="3" fillId="0" borderId="14" xfId="1" applyFont="1" applyBorder="1" applyAlignment="1"/>
    <xf numFmtId="166" fontId="3" fillId="0" borderId="7" xfId="1" applyFont="1" applyBorder="1" applyAlignment="1"/>
    <xf numFmtId="0" fontId="2" fillId="0" borderId="6" xfId="0" applyFont="1" applyBorder="1"/>
    <xf numFmtId="0" fontId="2" fillId="0" borderId="14" xfId="0" applyFont="1" applyBorder="1"/>
    <xf numFmtId="166" fontId="3" fillId="0" borderId="9" xfId="1" quotePrefix="1" applyFont="1" applyBorder="1" applyAlignment="1">
      <alignment horizontal="center"/>
    </xf>
    <xf numFmtId="170" fontId="0" fillId="0" borderId="31" xfId="1" applyNumberFormat="1" applyFont="1" applyFill="1" applyBorder="1"/>
    <xf numFmtId="170" fontId="0" fillId="0" borderId="1" xfId="1" applyNumberFormat="1" applyFont="1" applyFill="1" applyBorder="1"/>
    <xf numFmtId="170" fontId="4" fillId="0" borderId="31" xfId="1" applyNumberFormat="1" applyFont="1" applyFill="1" applyBorder="1" applyAlignment="1">
      <alignment horizontal="right"/>
    </xf>
    <xf numFmtId="170" fontId="4" fillId="0" borderId="1" xfId="1" applyNumberFormat="1" applyFont="1" applyFill="1" applyBorder="1"/>
    <xf numFmtId="166" fontId="1" fillId="0" borderId="31" xfId="1" applyFont="1" applyFill="1" applyBorder="1"/>
    <xf numFmtId="166" fontId="0" fillId="0" borderId="33" xfId="1" applyFont="1" applyFill="1" applyBorder="1"/>
    <xf numFmtId="166" fontId="0" fillId="0" borderId="9" xfId="1" applyFont="1" applyFill="1" applyBorder="1"/>
    <xf numFmtId="166" fontId="3" fillId="0" borderId="1" xfId="1" quotePrefix="1" applyFont="1" applyFill="1" applyBorder="1" applyAlignment="1">
      <alignment horizontal="center"/>
    </xf>
    <xf numFmtId="166" fontId="1" fillId="0" borderId="31" xfId="1" quotePrefix="1" applyFont="1" applyFill="1" applyBorder="1" applyAlignment="1">
      <alignment horizontal="center"/>
    </xf>
    <xf numFmtId="166" fontId="4" fillId="0" borderId="1" xfId="1" quotePrefix="1" applyFont="1" applyFill="1" applyBorder="1" applyAlignment="1"/>
    <xf numFmtId="166" fontId="4" fillId="0" borderId="1" xfId="1" quotePrefix="1" applyFont="1" applyFill="1" applyBorder="1"/>
    <xf numFmtId="169" fontId="0" fillId="0" borderId="31" xfId="1" applyNumberFormat="1" applyFont="1" applyFill="1" applyBorder="1"/>
    <xf numFmtId="9" fontId="0" fillId="0" borderId="31" xfId="2" applyFont="1" applyFill="1" applyBorder="1"/>
    <xf numFmtId="169" fontId="0" fillId="0" borderId="1" xfId="1" applyNumberFormat="1" applyFont="1" applyFill="1" applyBorder="1"/>
    <xf numFmtId="166" fontId="0" fillId="0" borderId="1" xfId="1" applyFont="1" applyBorder="1"/>
    <xf numFmtId="169" fontId="0" fillId="0" borderId="9" xfId="1" applyNumberFormat="1" applyFont="1" applyFill="1" applyBorder="1"/>
    <xf numFmtId="166" fontId="3" fillId="0" borderId="6" xfId="1" quotePrefix="1" applyFont="1" applyFill="1" applyBorder="1"/>
    <xf numFmtId="166" fontId="0" fillId="0" borderId="3" xfId="1" applyFont="1" applyFill="1" applyBorder="1"/>
    <xf numFmtId="166" fontId="3" fillId="0" borderId="9" xfId="1" applyFont="1" applyFill="1" applyBorder="1"/>
    <xf numFmtId="166" fontId="3" fillId="0" borderId="1" xfId="1" quotePrefix="1" applyFont="1" applyFill="1" applyBorder="1"/>
    <xf numFmtId="166" fontId="3" fillId="0" borderId="1" xfId="1" applyFont="1" applyFill="1" applyBorder="1"/>
    <xf numFmtId="166" fontId="1" fillId="0" borderId="1" xfId="1" applyFont="1" applyFill="1" applyBorder="1"/>
    <xf numFmtId="166" fontId="1" fillId="0" borderId="1" xfId="1" applyFont="1" applyBorder="1"/>
    <xf numFmtId="166" fontId="1" fillId="0" borderId="1" xfId="1" quotePrefix="1" applyFont="1" applyFill="1" applyBorder="1"/>
    <xf numFmtId="166" fontId="4" fillId="0" borderId="31" xfId="1" quotePrefix="1" applyFont="1" applyFill="1" applyBorder="1"/>
    <xf numFmtId="166" fontId="1" fillId="0" borderId="34" xfId="1" applyFont="1" applyFill="1" applyBorder="1"/>
    <xf numFmtId="166" fontId="3" fillId="0" borderId="27" xfId="1" quotePrefix="1" applyFont="1" applyFill="1" applyBorder="1" applyAlignment="1">
      <alignment horizontal="center"/>
    </xf>
    <xf numFmtId="166" fontId="0" fillId="0" borderId="32" xfId="1" applyFont="1" applyFill="1" applyBorder="1"/>
    <xf numFmtId="166" fontId="0" fillId="0" borderId="34" xfId="1" applyFont="1" applyFill="1" applyBorder="1"/>
    <xf numFmtId="166" fontId="0" fillId="0" borderId="35" xfId="1" applyFont="1" applyFill="1" applyBorder="1"/>
    <xf numFmtId="166" fontId="0" fillId="0" borderId="10" xfId="1" applyFont="1" applyBorder="1"/>
    <xf numFmtId="166" fontId="3" fillId="0" borderId="14" xfId="1" applyFont="1" applyBorder="1" applyAlignment="1">
      <alignment wrapText="1"/>
    </xf>
    <xf numFmtId="175" fontId="0" fillId="0" borderId="0" xfId="0" applyNumberFormat="1"/>
    <xf numFmtId="174" fontId="1" fillId="0" borderId="0" xfId="0" applyNumberFormat="1" applyFont="1"/>
    <xf numFmtId="174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0" borderId="8" xfId="0" applyBorder="1"/>
    <xf numFmtId="166" fontId="3" fillId="0" borderId="26" xfId="1" quotePrefix="1" applyFont="1" applyBorder="1" applyAlignment="1">
      <alignment horizontal="center"/>
    </xf>
    <xf numFmtId="174" fontId="0" fillId="0" borderId="26" xfId="1" applyNumberFormat="1" applyFont="1" applyFill="1" applyBorder="1"/>
    <xf numFmtId="174" fontId="0" fillId="0" borderId="23" xfId="1" applyNumberFormat="1" applyFont="1" applyFill="1" applyBorder="1"/>
    <xf numFmtId="174" fontId="4" fillId="0" borderId="23" xfId="1" applyNumberFormat="1" applyFont="1" applyFill="1" applyBorder="1" applyAlignment="1">
      <alignment horizontal="right"/>
    </xf>
    <xf numFmtId="174" fontId="4" fillId="0" borderId="26" xfId="1" applyNumberFormat="1" applyFont="1" applyFill="1" applyBorder="1"/>
    <xf numFmtId="166" fontId="0" fillId="0" borderId="28" xfId="1" applyFont="1" applyBorder="1"/>
    <xf numFmtId="165" fontId="1" fillId="0" borderId="0" xfId="0" applyNumberFormat="1" applyFont="1"/>
    <xf numFmtId="10" fontId="3" fillId="0" borderId="2" xfId="1" quotePrefix="1" applyNumberFormat="1" applyFont="1" applyFill="1" applyBorder="1" applyAlignment="1">
      <alignment horizontal="center"/>
    </xf>
    <xf numFmtId="10" fontId="3" fillId="0" borderId="0" xfId="0" applyNumberFormat="1" applyFont="1" applyAlignment="1">
      <alignment horizontal="left"/>
    </xf>
    <xf numFmtId="177" fontId="0" fillId="0" borderId="26" xfId="0" applyNumberFormat="1" applyBorder="1"/>
    <xf numFmtId="177" fontId="1" fillId="0" borderId="28" xfId="0" applyNumberFormat="1" applyFont="1" applyBorder="1"/>
    <xf numFmtId="177" fontId="0" fillId="0" borderId="0" xfId="0" applyNumberFormat="1"/>
    <xf numFmtId="177" fontId="0" fillId="0" borderId="27" xfId="0" applyNumberFormat="1" applyBorder="1"/>
    <xf numFmtId="177" fontId="0" fillId="0" borderId="28" xfId="0" applyNumberFormat="1" applyBorder="1"/>
    <xf numFmtId="177" fontId="0" fillId="0" borderId="8" xfId="0" applyNumberFormat="1" applyBorder="1"/>
    <xf numFmtId="177" fontId="3" fillId="0" borderId="2" xfId="0" applyNumberFormat="1" applyFont="1" applyBorder="1"/>
    <xf numFmtId="177" fontId="3" fillId="0" borderId="5" xfId="0" applyNumberFormat="1" applyFont="1" applyBorder="1"/>
    <xf numFmtId="177" fontId="3" fillId="0" borderId="0" xfId="0" applyNumberFormat="1" applyFont="1"/>
    <xf numFmtId="177" fontId="3" fillId="0" borderId="7" xfId="0" applyNumberFormat="1" applyFont="1" applyBorder="1"/>
    <xf numFmtId="177" fontId="3" fillId="0" borderId="11" xfId="0" applyNumberFormat="1" applyFont="1" applyBorder="1"/>
    <xf numFmtId="166" fontId="4" fillId="0" borderId="32" xfId="1" quotePrefix="1" applyFont="1" applyFill="1" applyBorder="1"/>
    <xf numFmtId="10" fontId="3" fillId="0" borderId="0" xfId="1" quotePrefix="1" applyNumberFormat="1" applyFont="1" applyFill="1" applyBorder="1" applyAlignment="1">
      <alignment horizontal="center"/>
    </xf>
    <xf numFmtId="166" fontId="1" fillId="0" borderId="18" xfId="1" quotePrefix="1" applyFont="1" applyFill="1" applyBorder="1" applyAlignment="1">
      <alignment horizontal="center"/>
    </xf>
    <xf numFmtId="166" fontId="1" fillId="0" borderId="18" xfId="1" applyFont="1" applyFill="1" applyBorder="1"/>
    <xf numFmtId="166" fontId="0" fillId="0" borderId="19" xfId="1" applyFont="1" applyFill="1" applyBorder="1"/>
    <xf numFmtId="169" fontId="0" fillId="0" borderId="18" xfId="1" applyNumberFormat="1" applyFont="1" applyFill="1" applyBorder="1"/>
    <xf numFmtId="9" fontId="0" fillId="0" borderId="18" xfId="2" applyFont="1" applyFill="1" applyBorder="1"/>
    <xf numFmtId="176" fontId="0" fillId="0" borderId="18" xfId="1" applyNumberFormat="1" applyFont="1" applyFill="1" applyBorder="1"/>
    <xf numFmtId="166" fontId="0" fillId="0" borderId="36" xfId="1" applyFont="1" applyFill="1" applyBorder="1"/>
    <xf numFmtId="166" fontId="3" fillId="0" borderId="6" xfId="1" applyFont="1" applyBorder="1" applyAlignment="1"/>
    <xf numFmtId="10" fontId="0" fillId="0" borderId="5" xfId="0" applyNumberFormat="1" applyBorder="1"/>
    <xf numFmtId="174" fontId="0" fillId="0" borderId="0" xfId="1" applyNumberFormat="1" applyFont="1" applyFill="1" applyBorder="1"/>
    <xf numFmtId="177" fontId="0" fillId="0" borderId="18" xfId="1" applyNumberFormat="1" applyFont="1" applyFill="1" applyBorder="1"/>
    <xf numFmtId="177" fontId="0" fillId="0" borderId="0" xfId="1" applyNumberFormat="1" applyFont="1" applyFill="1" applyBorder="1"/>
    <xf numFmtId="177" fontId="4" fillId="0" borderId="18" xfId="1" applyNumberFormat="1" applyFont="1" applyFill="1" applyBorder="1" applyAlignment="1">
      <alignment horizontal="right"/>
    </xf>
    <xf numFmtId="177" fontId="4" fillId="0" borderId="0" xfId="1" applyNumberFormat="1" applyFont="1" applyFill="1" applyBorder="1"/>
    <xf numFmtId="166" fontId="0" fillId="0" borderId="37" xfId="1" applyFont="1" applyFill="1" applyBorder="1"/>
    <xf numFmtId="166" fontId="4" fillId="0" borderId="36" xfId="1" quotePrefix="1" applyFont="1" applyFill="1" applyBorder="1"/>
    <xf numFmtId="166" fontId="3" fillId="3" borderId="8" xfId="1" applyFont="1" applyFill="1" applyBorder="1" applyAlignment="1">
      <alignment horizontal="center"/>
    </xf>
    <xf numFmtId="10" fontId="3" fillId="3" borderId="27" xfId="0" applyNumberFormat="1" applyFont="1" applyFill="1" applyBorder="1" applyAlignment="1">
      <alignment horizontal="center"/>
    </xf>
    <xf numFmtId="0" fontId="0" fillId="3" borderId="26" xfId="0" applyFill="1" applyBorder="1"/>
    <xf numFmtId="178" fontId="0" fillId="3" borderId="23" xfId="0" applyNumberFormat="1" applyFill="1" applyBorder="1"/>
    <xf numFmtId="179" fontId="0" fillId="3" borderId="23" xfId="1" applyNumberFormat="1" applyFont="1" applyFill="1" applyBorder="1"/>
    <xf numFmtId="0" fontId="0" fillId="3" borderId="23" xfId="0" applyFill="1" applyBorder="1"/>
    <xf numFmtId="166" fontId="0" fillId="3" borderId="23" xfId="1" applyFont="1" applyFill="1" applyBorder="1"/>
    <xf numFmtId="0" fontId="1" fillId="3" borderId="23" xfId="0" applyFont="1" applyFill="1" applyBorder="1"/>
    <xf numFmtId="166" fontId="1" fillId="3" borderId="23" xfId="1" applyFont="1" applyFill="1" applyBorder="1"/>
    <xf numFmtId="166" fontId="1" fillId="3" borderId="30" xfId="1" applyFont="1" applyFill="1" applyBorder="1"/>
    <xf numFmtId="0" fontId="0" fillId="3" borderId="8" xfId="0" applyFill="1" applyBorder="1"/>
    <xf numFmtId="164" fontId="0" fillId="3" borderId="23" xfId="0" applyNumberFormat="1" applyFill="1" applyBorder="1"/>
    <xf numFmtId="180" fontId="0" fillId="3" borderId="23" xfId="0" applyNumberFormat="1" applyFill="1" applyBorder="1"/>
    <xf numFmtId="181" fontId="0" fillId="3" borderId="23" xfId="0" applyNumberFormat="1" applyFill="1" applyBorder="1"/>
    <xf numFmtId="0" fontId="0" fillId="3" borderId="27" xfId="0" applyFill="1" applyBorder="1"/>
    <xf numFmtId="166" fontId="0" fillId="3" borderId="26" xfId="1" applyFont="1" applyFill="1" applyBorder="1"/>
    <xf numFmtId="166" fontId="4" fillId="3" borderId="32" xfId="1" quotePrefix="1" applyFont="1" applyFill="1" applyBorder="1"/>
    <xf numFmtId="166" fontId="4" fillId="3" borderId="26" xfId="1" quotePrefix="1" applyFont="1" applyFill="1" applyBorder="1"/>
    <xf numFmtId="0" fontId="0" fillId="3" borderId="30" xfId="0" applyFill="1" applyBorder="1"/>
    <xf numFmtId="10" fontId="3" fillId="0" borderId="38" xfId="1" quotePrefix="1" applyNumberFormat="1" applyFont="1" applyBorder="1" applyAlignment="1">
      <alignment horizontal="center"/>
    </xf>
    <xf numFmtId="10" fontId="3" fillId="0" borderId="39" xfId="1" quotePrefix="1" applyNumberFormat="1" applyFont="1" applyBorder="1" applyAlignment="1">
      <alignment horizontal="center"/>
    </xf>
    <xf numFmtId="10" fontId="3" fillId="3" borderId="38" xfId="0" applyNumberFormat="1" applyFont="1" applyFill="1" applyBorder="1" applyAlignment="1">
      <alignment horizontal="center"/>
    </xf>
    <xf numFmtId="166" fontId="3" fillId="0" borderId="38" xfId="1" quotePrefix="1" applyFont="1" applyBorder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10" fontId="3" fillId="3" borderId="26" xfId="0" applyNumberFormat="1" applyFont="1" applyFill="1" applyBorder="1" applyAlignment="1">
      <alignment horizontal="center"/>
    </xf>
    <xf numFmtId="166" fontId="0" fillId="3" borderId="30" xfId="1" applyFont="1" applyFill="1" applyBorder="1"/>
    <xf numFmtId="10" fontId="3" fillId="3" borderId="2" xfId="1" quotePrefix="1" applyNumberFormat="1" applyFont="1" applyFill="1" applyBorder="1" applyAlignment="1">
      <alignment horizontal="center"/>
    </xf>
    <xf numFmtId="10" fontId="3" fillId="0" borderId="26" xfId="1" quotePrefix="1" applyNumberFormat="1" applyFont="1" applyFill="1" applyBorder="1" applyAlignment="1">
      <alignment horizontal="center"/>
    </xf>
    <xf numFmtId="10" fontId="3" fillId="0" borderId="26" xfId="1" applyNumberFormat="1" applyFont="1" applyFill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10" fontId="3" fillId="0" borderId="1" xfId="1" quotePrefix="1" applyNumberFormat="1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/>
    </xf>
    <xf numFmtId="174" fontId="0" fillId="0" borderId="19" xfId="1" applyNumberFormat="1" applyFont="1" applyFill="1" applyBorder="1"/>
    <xf numFmtId="0" fontId="0" fillId="3" borderId="32" xfId="0" applyFill="1" applyBorder="1"/>
    <xf numFmtId="169" fontId="0" fillId="0" borderId="32" xfId="1" applyNumberFormat="1" applyFont="1" applyFill="1" applyBorder="1"/>
    <xf numFmtId="169" fontId="0" fillId="0" borderId="36" xfId="1" applyNumberFormat="1" applyFont="1" applyFill="1" applyBorder="1"/>
    <xf numFmtId="166" fontId="0" fillId="0" borderId="36" xfId="1" applyFont="1" applyBorder="1"/>
    <xf numFmtId="10" fontId="3" fillId="0" borderId="39" xfId="1" quotePrefix="1" applyNumberFormat="1" applyFont="1" applyFill="1" applyBorder="1" applyAlignment="1">
      <alignment horizontal="center"/>
    </xf>
    <xf numFmtId="166" fontId="1" fillId="0" borderId="32" xfId="1" applyFont="1" applyFill="1" applyBorder="1"/>
    <xf numFmtId="166" fontId="1" fillId="0" borderId="36" xfId="1" applyFont="1" applyFill="1" applyBorder="1"/>
    <xf numFmtId="166" fontId="0" fillId="0" borderId="18" xfId="1" applyFont="1" applyFill="1" applyBorder="1" applyAlignment="1">
      <alignment vertical="top"/>
    </xf>
    <xf numFmtId="164" fontId="0" fillId="3" borderId="23" xfId="0" applyNumberFormat="1" applyFill="1" applyBorder="1" applyAlignment="1">
      <alignment vertical="top"/>
    </xf>
    <xf numFmtId="166" fontId="0" fillId="0" borderId="23" xfId="1" applyFont="1" applyFill="1" applyBorder="1" applyAlignment="1">
      <alignment vertical="top"/>
    </xf>
    <xf numFmtId="164" fontId="0" fillId="3" borderId="20" xfId="0" applyNumberFormat="1" applyFill="1" applyBorder="1"/>
    <xf numFmtId="10" fontId="3" fillId="0" borderId="1" xfId="1" applyNumberFormat="1" applyFont="1" applyBorder="1" applyAlignment="1">
      <alignment horizontal="center"/>
    </xf>
    <xf numFmtId="166" fontId="4" fillId="0" borderId="35" xfId="1" quotePrefix="1" applyFont="1" applyFill="1" applyBorder="1"/>
    <xf numFmtId="166" fontId="0" fillId="0" borderId="35" xfId="1" applyFont="1" applyBorder="1"/>
    <xf numFmtId="166" fontId="0" fillId="0" borderId="31" xfId="1" applyFont="1" applyFill="1" applyBorder="1" applyAlignment="1">
      <alignment vertical="top"/>
    </xf>
    <xf numFmtId="166" fontId="3" fillId="0" borderId="40" xfId="1" quotePrefix="1" applyFont="1" applyFill="1" applyBorder="1"/>
    <xf numFmtId="10" fontId="3" fillId="0" borderId="25" xfId="1" applyNumberFormat="1" applyFont="1" applyBorder="1" applyAlignment="1">
      <alignment horizontal="center"/>
    </xf>
    <xf numFmtId="166" fontId="0" fillId="0" borderId="23" xfId="1" applyFont="1" applyFill="1" applyBorder="1" applyAlignment="1">
      <alignment vertical="top" wrapText="1"/>
    </xf>
    <xf numFmtId="10" fontId="3" fillId="0" borderId="38" xfId="1" applyNumberFormat="1" applyFont="1" applyFill="1" applyBorder="1" applyAlignment="1">
      <alignment horizontal="center"/>
    </xf>
    <xf numFmtId="166" fontId="3" fillId="0" borderId="32" xfId="1" applyFont="1" applyFill="1" applyBorder="1"/>
    <xf numFmtId="176" fontId="0" fillId="0" borderId="23" xfId="1" applyNumberFormat="1" applyFont="1" applyFill="1" applyBorder="1"/>
    <xf numFmtId="10" fontId="3" fillId="0" borderId="32" xfId="1" quotePrefix="1" applyNumberFormat="1" applyFont="1" applyFill="1" applyBorder="1" applyAlignment="1">
      <alignment horizontal="center"/>
    </xf>
    <xf numFmtId="166" fontId="3" fillId="0" borderId="6" xfId="1" applyFont="1" applyBorder="1" applyAlignment="1">
      <alignment horizontal="center" wrapText="1"/>
    </xf>
    <xf numFmtId="166" fontId="3" fillId="0" borderId="14" xfId="1" applyFont="1" applyBorder="1" applyAlignment="1">
      <alignment horizontal="center" wrapText="1"/>
    </xf>
    <xf numFmtId="166" fontId="3" fillId="0" borderId="7" xfId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8"/>
  <sheetViews>
    <sheetView tabSelected="1" showWhiteSpace="0" view="pageBreakPreview" topLeftCell="A170" zoomScaleNormal="100" zoomScaleSheetLayoutView="100" workbookViewId="0">
      <selection activeCell="Y165" sqref="Y165"/>
    </sheetView>
  </sheetViews>
  <sheetFormatPr defaultRowHeight="12.75" x14ac:dyDescent="0.2"/>
  <cols>
    <col min="1" max="1" width="8.28515625" customWidth="1"/>
    <col min="2" max="2" width="24.28515625" customWidth="1"/>
    <col min="3" max="3" width="9.28515625" customWidth="1"/>
    <col min="4" max="4" width="11.140625" customWidth="1"/>
    <col min="5" max="5" width="10.5703125" customWidth="1"/>
    <col min="6" max="6" width="15.28515625" style="5" hidden="1" customWidth="1"/>
    <col min="7" max="7" width="15.42578125" style="5" hidden="1" customWidth="1"/>
    <col min="8" max="8" width="0.85546875" customWidth="1"/>
    <col min="9" max="10" width="14" style="5" hidden="1" customWidth="1"/>
    <col min="11" max="11" width="22.85546875" hidden="1" customWidth="1"/>
    <col min="12" max="12" width="18.5703125" hidden="1" customWidth="1"/>
    <col min="13" max="13" width="10.5703125" hidden="1" customWidth="1"/>
    <col min="14" max="18" width="0" hidden="1" customWidth="1"/>
    <col min="19" max="19" width="15.28515625" style="5" hidden="1" customWidth="1"/>
    <col min="20" max="20" width="13.85546875" hidden="1" customWidth="1"/>
    <col min="21" max="22" width="15.7109375" hidden="1" customWidth="1"/>
    <col min="23" max="23" width="15.42578125" customWidth="1"/>
    <col min="24" max="24" width="14.7109375" customWidth="1"/>
    <col min="25" max="25" width="13.42578125" bestFit="1" customWidth="1"/>
    <col min="26" max="26" width="11.42578125" customWidth="1"/>
  </cols>
  <sheetData>
    <row r="1" spans="1:26" ht="13.5" thickBot="1" x14ac:dyDescent="0.25">
      <c r="A1" s="29"/>
      <c r="B1" s="30"/>
      <c r="C1" s="30"/>
      <c r="D1" s="30"/>
      <c r="E1" s="30"/>
      <c r="F1" s="262"/>
      <c r="G1" s="262"/>
      <c r="H1" s="30"/>
      <c r="I1" s="262"/>
      <c r="J1" s="262"/>
      <c r="K1" s="30"/>
      <c r="L1" s="30"/>
      <c r="M1" s="30"/>
      <c r="N1" s="30"/>
      <c r="O1" s="30"/>
      <c r="P1" s="30"/>
      <c r="Q1" s="30"/>
      <c r="R1" s="30"/>
      <c r="S1" s="262"/>
      <c r="T1" s="30"/>
      <c r="U1" s="30"/>
    </row>
    <row r="2" spans="1:26" ht="16.5" customHeight="1" thickBot="1" x14ac:dyDescent="0.25">
      <c r="A2" s="229" t="s">
        <v>0</v>
      </c>
      <c r="B2" s="230"/>
      <c r="C2" s="181"/>
      <c r="D2" s="181"/>
      <c r="E2" s="181"/>
      <c r="F2" s="227" t="s">
        <v>415</v>
      </c>
      <c r="G2" s="227"/>
      <c r="H2" s="228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63"/>
      <c r="T2" s="299" t="s">
        <v>427</v>
      </c>
      <c r="U2" s="227"/>
      <c r="V2" s="363" t="s">
        <v>427</v>
      </c>
      <c r="W2" s="364"/>
      <c r="X2" s="364"/>
      <c r="Y2" s="365"/>
    </row>
    <row r="3" spans="1:26" ht="13.5" thickBot="1" x14ac:dyDescent="0.25">
      <c r="A3" s="19"/>
      <c r="F3" s="6"/>
      <c r="G3" s="6"/>
      <c r="I3" s="142"/>
      <c r="J3" s="142"/>
      <c r="K3" s="143"/>
      <c r="L3" s="10"/>
      <c r="S3" s="93"/>
      <c r="T3" s="268"/>
      <c r="U3" s="269"/>
      <c r="V3" s="176"/>
      <c r="W3" s="269"/>
      <c r="X3" s="300"/>
      <c r="Y3" s="269"/>
    </row>
    <row r="4" spans="1:26" ht="13.5" thickBot="1" x14ac:dyDescent="0.25">
      <c r="A4" s="19"/>
      <c r="B4" s="7"/>
      <c r="C4" s="7"/>
      <c r="D4" s="7"/>
      <c r="E4" s="8"/>
      <c r="F4" s="66" t="s">
        <v>70</v>
      </c>
      <c r="G4" s="66" t="s">
        <v>118</v>
      </c>
      <c r="I4" s="49" t="s">
        <v>69</v>
      </c>
      <c r="J4" s="83"/>
      <c r="K4" s="31"/>
      <c r="L4" s="81"/>
      <c r="M4" s="94">
        <v>7.39</v>
      </c>
      <c r="S4" s="66" t="s">
        <v>380</v>
      </c>
      <c r="T4" s="90" t="s">
        <v>396</v>
      </c>
      <c r="U4" s="66" t="s">
        <v>413</v>
      </c>
      <c r="V4" s="66" t="s">
        <v>428</v>
      </c>
      <c r="W4" s="66" t="s">
        <v>433</v>
      </c>
      <c r="X4" s="66" t="s">
        <v>435</v>
      </c>
      <c r="Y4" s="308" t="s">
        <v>447</v>
      </c>
    </row>
    <row r="5" spans="1:26" x14ac:dyDescent="0.2">
      <c r="A5" s="17" t="s">
        <v>144</v>
      </c>
      <c r="B5" s="7"/>
      <c r="C5" s="7"/>
      <c r="D5" s="7"/>
      <c r="E5" s="8"/>
      <c r="F5" s="54"/>
      <c r="G5" s="54"/>
      <c r="I5" s="55"/>
      <c r="J5" s="55"/>
      <c r="K5" s="31"/>
      <c r="L5" s="81"/>
      <c r="M5" s="94"/>
      <c r="S5" s="231"/>
      <c r="T5" s="258"/>
      <c r="U5" s="270"/>
      <c r="V5" s="330"/>
      <c r="W5" s="327">
        <v>6.2E-2</v>
      </c>
      <c r="X5" s="328">
        <v>0.1459</v>
      </c>
      <c r="Y5" s="329">
        <v>4.8000000000000001E-2</v>
      </c>
    </row>
    <row r="6" spans="1:26" ht="17.25" customHeight="1" x14ac:dyDescent="0.2">
      <c r="A6" s="17" t="s">
        <v>42</v>
      </c>
      <c r="B6" s="7"/>
      <c r="C6" s="7"/>
      <c r="D6" s="7"/>
      <c r="E6" s="8"/>
      <c r="F6" s="34"/>
      <c r="G6" s="28"/>
      <c r="I6" s="50"/>
      <c r="J6" s="50"/>
      <c r="K6" s="18"/>
      <c r="S6" s="158"/>
      <c r="T6" s="163"/>
      <c r="U6" s="271"/>
      <c r="V6" s="271"/>
      <c r="W6" s="271"/>
      <c r="X6" s="301"/>
      <c r="Y6" s="310"/>
    </row>
    <row r="7" spans="1:26" x14ac:dyDescent="0.2">
      <c r="A7" s="19" t="s">
        <v>54</v>
      </c>
      <c r="C7" s="2"/>
      <c r="E7" s="9"/>
      <c r="F7" s="114">
        <v>71.506983990000009</v>
      </c>
      <c r="G7" s="114">
        <v>76.790000000000006</v>
      </c>
      <c r="I7" s="51">
        <f>+G7*1.14</f>
        <v>87.540599999999998</v>
      </c>
      <c r="J7" s="51"/>
      <c r="K7" s="32"/>
      <c r="L7" s="82"/>
      <c r="S7" s="232">
        <v>92.742623999999992</v>
      </c>
      <c r="T7" s="193">
        <v>94.49</v>
      </c>
      <c r="U7" s="272">
        <v>100.95</v>
      </c>
      <c r="V7" s="272">
        <v>114.1442</v>
      </c>
      <c r="W7" s="272">
        <f>+V7*1.062</f>
        <v>121.22114040000001</v>
      </c>
      <c r="X7" s="302">
        <f>+W7*1.1459</f>
        <v>138.90730478436001</v>
      </c>
      <c r="Y7" s="311">
        <f>+X7*1.048</f>
        <v>145.57485541400931</v>
      </c>
      <c r="Z7" s="264"/>
    </row>
    <row r="8" spans="1:26" x14ac:dyDescent="0.2">
      <c r="A8" s="27" t="s">
        <v>41</v>
      </c>
      <c r="B8" s="10"/>
      <c r="E8" s="9"/>
      <c r="F8" s="114">
        <v>1.4301396797999999</v>
      </c>
      <c r="G8" s="114">
        <v>1.54</v>
      </c>
      <c r="I8" s="51">
        <f t="shared" ref="I8:I45" si="0">+G8*1.14</f>
        <v>1.7555999999999998</v>
      </c>
      <c r="J8" s="51"/>
      <c r="K8" s="18">
        <f>+G8*1.1269</f>
        <v>1.7354260000000001</v>
      </c>
      <c r="L8">
        <f>+K8*1.14</f>
        <v>1.9783856399999999</v>
      </c>
      <c r="M8" s="40"/>
      <c r="S8" s="232">
        <v>1.8514079999999999</v>
      </c>
      <c r="T8" s="193">
        <v>1.8848</v>
      </c>
      <c r="U8" s="272">
        <v>2.0099999999999998</v>
      </c>
      <c r="V8" s="272">
        <v>2.2726999999999999</v>
      </c>
      <c r="W8" s="272">
        <f>+V8*1.062</f>
        <v>2.4136074000000001</v>
      </c>
      <c r="X8" s="302">
        <f>+W8*1.1459</f>
        <v>2.76575271966</v>
      </c>
      <c r="Y8" s="311">
        <f>+X8*1.048</f>
        <v>2.89850885020368</v>
      </c>
    </row>
    <row r="9" spans="1:26" x14ac:dyDescent="0.2">
      <c r="A9" s="27"/>
      <c r="B9" s="10"/>
      <c r="E9" s="9"/>
      <c r="F9" s="35"/>
      <c r="G9" s="35"/>
      <c r="I9" s="51"/>
      <c r="J9" s="51"/>
      <c r="K9" s="18"/>
      <c r="S9" s="233"/>
      <c r="T9" s="194"/>
      <c r="U9" s="271"/>
      <c r="V9" s="271"/>
      <c r="W9" s="271"/>
      <c r="X9" s="303"/>
      <c r="Y9" s="310"/>
    </row>
    <row r="10" spans="1:26" x14ac:dyDescent="0.2">
      <c r="A10" s="17" t="s">
        <v>67</v>
      </c>
      <c r="B10" s="10"/>
      <c r="E10" s="9"/>
      <c r="F10" s="35"/>
      <c r="G10" s="35"/>
      <c r="I10" s="51"/>
      <c r="J10" s="51"/>
      <c r="K10" s="18"/>
      <c r="S10" s="233"/>
      <c r="T10" s="194"/>
      <c r="U10" s="271"/>
      <c r="V10" s="271"/>
      <c r="W10" s="271"/>
      <c r="X10" s="303"/>
      <c r="Y10" s="310"/>
    </row>
    <row r="11" spans="1:26" x14ac:dyDescent="0.2">
      <c r="A11" s="27" t="s">
        <v>2</v>
      </c>
      <c r="B11" s="10"/>
      <c r="E11" s="9"/>
      <c r="F11" s="35"/>
      <c r="G11" s="35"/>
      <c r="I11" s="51"/>
      <c r="J11" s="51"/>
      <c r="K11" s="33"/>
      <c r="L11" s="13"/>
      <c r="M11" s="40"/>
      <c r="S11" s="233"/>
      <c r="T11" s="194"/>
      <c r="U11" s="271"/>
      <c r="V11" s="271"/>
      <c r="W11" s="271"/>
      <c r="X11" s="303"/>
      <c r="Y11" s="310"/>
    </row>
    <row r="12" spans="1:26" x14ac:dyDescent="0.2">
      <c r="A12" s="27" t="s">
        <v>44</v>
      </c>
      <c r="B12" s="10"/>
      <c r="D12" s="25" t="s">
        <v>47</v>
      </c>
      <c r="E12" s="11"/>
      <c r="F12" s="114">
        <v>15.731536477800001</v>
      </c>
      <c r="G12" s="114">
        <v>16.89</v>
      </c>
      <c r="I12" s="51">
        <f t="shared" si="0"/>
        <v>19.2546</v>
      </c>
      <c r="J12" s="51"/>
      <c r="K12" s="33"/>
      <c r="L12" s="13"/>
      <c r="M12" s="40"/>
      <c r="S12" s="232">
        <v>20.408544000000003</v>
      </c>
      <c r="T12" s="193">
        <v>20.79</v>
      </c>
      <c r="U12" s="272">
        <v>22.21</v>
      </c>
      <c r="V12" s="272">
        <v>25.1128</v>
      </c>
      <c r="W12" s="272">
        <f>+V12*1.062</f>
        <v>26.669793600000002</v>
      </c>
      <c r="X12" s="302">
        <f t="shared" ref="X12:X15" si="1">+W12*1.1459</f>
        <v>30.56091648624</v>
      </c>
      <c r="Y12" s="312">
        <f t="shared" ref="Y12:Y13" si="2">+X12*1.048</f>
        <v>32.027840477579524</v>
      </c>
    </row>
    <row r="13" spans="1:26" x14ac:dyDescent="0.2">
      <c r="A13" s="27" t="s">
        <v>41</v>
      </c>
      <c r="B13" s="10"/>
      <c r="E13" s="9"/>
      <c r="F13" s="114">
        <v>1.0010977758599999</v>
      </c>
      <c r="G13" s="114">
        <v>1.08</v>
      </c>
      <c r="I13" s="51">
        <f t="shared" si="0"/>
        <v>1.2312000000000001</v>
      </c>
      <c r="J13" s="51"/>
      <c r="K13" s="33"/>
      <c r="L13" s="13"/>
      <c r="M13" s="40"/>
      <c r="S13" s="232">
        <v>1.3024439999999999</v>
      </c>
      <c r="T13" s="193">
        <v>1.3245</v>
      </c>
      <c r="U13" s="272">
        <v>1.415</v>
      </c>
      <c r="V13" s="272">
        <v>1.5999000000000001</v>
      </c>
      <c r="W13" s="272">
        <f>+V13*1.062</f>
        <v>1.6990938000000002</v>
      </c>
      <c r="X13" s="302">
        <f t="shared" si="1"/>
        <v>1.9469915854200002</v>
      </c>
      <c r="Y13" s="312">
        <f t="shared" si="2"/>
        <v>2.0404471815201601</v>
      </c>
    </row>
    <row r="14" spans="1:26" x14ac:dyDescent="0.2">
      <c r="A14" s="27"/>
      <c r="B14" s="10"/>
      <c r="E14" s="9"/>
      <c r="F14" s="35"/>
      <c r="G14" s="35"/>
      <c r="I14" s="51"/>
      <c r="J14" s="51"/>
      <c r="K14" s="33"/>
      <c r="L14" s="13"/>
      <c r="M14">
        <f>873-300</f>
        <v>573</v>
      </c>
      <c r="N14">
        <f>+M14*52</f>
        <v>29796</v>
      </c>
      <c r="S14" s="233"/>
      <c r="T14" s="194"/>
      <c r="U14" s="271"/>
      <c r="V14" s="271"/>
      <c r="W14" s="271"/>
      <c r="X14" s="303"/>
      <c r="Y14" s="313"/>
    </row>
    <row r="15" spans="1:26" x14ac:dyDescent="0.2">
      <c r="A15" s="17" t="s">
        <v>51</v>
      </c>
      <c r="B15" s="10"/>
      <c r="D15" s="25" t="s">
        <v>52</v>
      </c>
      <c r="E15" s="9"/>
      <c r="F15" s="114">
        <v>1.4730438701939998</v>
      </c>
      <c r="G15" s="114">
        <v>1.58</v>
      </c>
      <c r="I15" s="51">
        <f t="shared" si="0"/>
        <v>1.8011999999999999</v>
      </c>
      <c r="J15" s="51"/>
      <c r="K15" s="33"/>
      <c r="L15" s="13"/>
      <c r="S15" s="232">
        <v>1.91</v>
      </c>
      <c r="T15" s="193">
        <v>1.94</v>
      </c>
      <c r="U15" s="272">
        <f>+T15*1.0684</f>
        <v>2.0726960000000001</v>
      </c>
      <c r="V15" s="272">
        <v>2.3435999999999999</v>
      </c>
      <c r="W15" s="272">
        <f>+V15*1.062</f>
        <v>2.4889032000000002</v>
      </c>
      <c r="X15" s="302">
        <f t="shared" si="1"/>
        <v>2.8520341768800002</v>
      </c>
      <c r="Y15" s="311">
        <f>+X15*1.048</f>
        <v>2.9889318173702404</v>
      </c>
    </row>
    <row r="16" spans="1:26" x14ac:dyDescent="0.2">
      <c r="A16" s="17" t="s">
        <v>215</v>
      </c>
      <c r="B16" s="10"/>
      <c r="E16" s="9"/>
      <c r="F16" s="35"/>
      <c r="G16" s="35"/>
      <c r="I16" s="51"/>
      <c r="J16" s="51"/>
      <c r="K16" s="33"/>
      <c r="L16" s="13"/>
      <c r="S16" s="233"/>
      <c r="T16" s="194"/>
      <c r="U16" s="271"/>
      <c r="V16" s="271"/>
      <c r="W16" s="271"/>
      <c r="X16" s="303"/>
      <c r="Y16" s="310"/>
    </row>
    <row r="17" spans="1:25" x14ac:dyDescent="0.2">
      <c r="A17" s="27"/>
      <c r="B17" s="10"/>
      <c r="E17" s="9"/>
      <c r="F17" s="35"/>
      <c r="G17" s="35"/>
      <c r="I17" s="51"/>
      <c r="J17" s="51"/>
      <c r="K17" s="18"/>
      <c r="S17" s="233"/>
      <c r="T17" s="194"/>
      <c r="U17" s="271"/>
      <c r="V17" s="271"/>
      <c r="W17" s="271"/>
      <c r="X17" s="303"/>
      <c r="Y17" s="310"/>
    </row>
    <row r="18" spans="1:25" x14ac:dyDescent="0.2">
      <c r="A18" s="17" t="s">
        <v>49</v>
      </c>
      <c r="B18" s="7"/>
      <c r="E18" s="9"/>
      <c r="F18" s="35"/>
      <c r="G18" s="35"/>
      <c r="I18" s="51"/>
      <c r="J18" s="51"/>
      <c r="K18" s="18"/>
      <c r="S18" s="233"/>
      <c r="T18" s="194"/>
      <c r="U18" s="271"/>
      <c r="V18" s="271"/>
      <c r="W18" s="271"/>
      <c r="X18" s="303"/>
      <c r="Y18" s="310"/>
    </row>
    <row r="19" spans="1:25" x14ac:dyDescent="0.2">
      <c r="A19" s="19" t="s">
        <v>54</v>
      </c>
      <c r="E19" s="9"/>
      <c r="F19" s="115" t="s">
        <v>50</v>
      </c>
      <c r="G19" s="115">
        <v>0</v>
      </c>
      <c r="I19" s="51"/>
      <c r="J19" s="51"/>
      <c r="K19" s="32"/>
      <c r="L19" s="82"/>
      <c r="M19" s="98" t="s">
        <v>129</v>
      </c>
      <c r="S19" s="234">
        <v>0</v>
      </c>
      <c r="T19" s="195">
        <v>0</v>
      </c>
      <c r="U19" s="273">
        <v>0</v>
      </c>
      <c r="V19" s="273">
        <v>0</v>
      </c>
      <c r="W19" s="273">
        <v>0</v>
      </c>
      <c r="X19" s="304">
        <v>0</v>
      </c>
      <c r="Y19" s="313"/>
    </row>
    <row r="20" spans="1:25" x14ac:dyDescent="0.2">
      <c r="A20" s="27" t="s">
        <v>41</v>
      </c>
      <c r="B20" s="10"/>
      <c r="D20" s="25" t="s">
        <v>60</v>
      </c>
      <c r="E20" s="9"/>
      <c r="F20" s="114">
        <v>1.0010977758599999</v>
      </c>
      <c r="G20" s="114">
        <v>1.08</v>
      </c>
      <c r="I20" s="51">
        <f t="shared" si="0"/>
        <v>1.2312000000000001</v>
      </c>
      <c r="J20" s="51"/>
      <c r="K20" s="18"/>
      <c r="M20" s="40"/>
      <c r="S20" s="232">
        <v>1.3024439999999999</v>
      </c>
      <c r="T20" s="193">
        <v>1.33</v>
      </c>
      <c r="U20" s="272">
        <f>+T20*1.0684</f>
        <v>1.4209720000000001</v>
      </c>
      <c r="V20" s="272">
        <v>1.5999000000000001</v>
      </c>
      <c r="W20" s="272">
        <f>+V20*1.062</f>
        <v>1.6990938000000002</v>
      </c>
      <c r="X20" s="302">
        <f t="shared" ref="X20" si="3">+W20*1.1459</f>
        <v>1.9469915854200002</v>
      </c>
      <c r="Y20" s="311">
        <f>+X20*1.048</f>
        <v>2.0404471815201601</v>
      </c>
    </row>
    <row r="21" spans="1:25" x14ac:dyDescent="0.2">
      <c r="A21" s="27"/>
      <c r="B21" s="10"/>
      <c r="E21" s="9"/>
      <c r="F21" s="35"/>
      <c r="G21" s="35"/>
      <c r="I21" s="51"/>
      <c r="J21" s="51"/>
      <c r="K21" s="18"/>
      <c r="M21" s="40"/>
      <c r="S21" s="233"/>
      <c r="T21" s="194"/>
      <c r="U21" s="271"/>
      <c r="V21" s="271"/>
      <c r="W21" s="271"/>
      <c r="X21" s="303"/>
      <c r="Y21" s="310"/>
    </row>
    <row r="22" spans="1:25" x14ac:dyDescent="0.2">
      <c r="A22" s="17" t="s">
        <v>43</v>
      </c>
      <c r="B22" s="7"/>
      <c r="E22" s="9"/>
      <c r="F22" s="35"/>
      <c r="G22" s="35"/>
      <c r="I22" s="51"/>
      <c r="J22" s="51"/>
      <c r="K22" s="18"/>
      <c r="M22" s="40"/>
      <c r="S22" s="233"/>
      <c r="T22" s="194"/>
      <c r="U22" s="271"/>
      <c r="V22" s="271"/>
      <c r="W22" s="271"/>
      <c r="X22" s="303"/>
      <c r="Y22" s="310"/>
    </row>
    <row r="23" spans="1:25" x14ac:dyDescent="0.2">
      <c r="A23" s="27" t="s">
        <v>53</v>
      </c>
      <c r="B23" s="10"/>
      <c r="E23" s="9"/>
      <c r="F23" s="114">
        <v>1.4730438701939998</v>
      </c>
      <c r="G23" s="114">
        <v>1.58</v>
      </c>
      <c r="I23" s="51">
        <f t="shared" si="0"/>
        <v>1.8011999999999999</v>
      </c>
      <c r="J23" s="51"/>
      <c r="K23" s="18">
        <f>+G23*1.1269</f>
        <v>1.780502</v>
      </c>
      <c r="L23">
        <v>75.64</v>
      </c>
      <c r="M23" s="40">
        <v>70</v>
      </c>
      <c r="S23" s="232">
        <v>1.82988</v>
      </c>
      <c r="T23" s="193">
        <v>1.86</v>
      </c>
      <c r="U23" s="272">
        <v>1.9549000000000001</v>
      </c>
      <c r="V23" s="272">
        <v>2.0920999999999998</v>
      </c>
      <c r="W23" s="272">
        <f>+V23*1.062</f>
        <v>2.2218101999999997</v>
      </c>
      <c r="X23" s="302">
        <f t="shared" ref="X23:X26" si="4">+W23*1.1459</f>
        <v>2.5459723081799996</v>
      </c>
      <c r="Y23" s="311">
        <f>+X23*1.048</f>
        <v>2.6681789789726396</v>
      </c>
    </row>
    <row r="24" spans="1:25" x14ac:dyDescent="0.2">
      <c r="A24" s="19"/>
      <c r="B24" t="s">
        <v>54</v>
      </c>
      <c r="E24" s="9"/>
      <c r="F24" s="35"/>
      <c r="G24" s="35"/>
      <c r="I24" s="51"/>
      <c r="J24" s="51"/>
      <c r="K24" s="33"/>
      <c r="L24" s="13">
        <v>0.28999999999999998</v>
      </c>
      <c r="M24" s="40">
        <v>1200</v>
      </c>
      <c r="S24" s="233"/>
      <c r="T24" s="194"/>
      <c r="U24" s="271"/>
      <c r="V24" s="271"/>
      <c r="W24" s="271"/>
      <c r="X24" s="303"/>
      <c r="Y24" s="313"/>
    </row>
    <row r="25" spans="1:25" x14ac:dyDescent="0.2">
      <c r="A25" s="19"/>
      <c r="B25" s="2" t="s">
        <v>63</v>
      </c>
      <c r="D25" s="25" t="s">
        <v>47</v>
      </c>
      <c r="E25" s="9"/>
      <c r="F25" s="114">
        <v>10.726047598499999</v>
      </c>
      <c r="G25" s="114">
        <v>11.52</v>
      </c>
      <c r="I25" s="51">
        <f t="shared" si="0"/>
        <v>13.132799999999998</v>
      </c>
      <c r="J25" s="51"/>
      <c r="K25" s="33"/>
      <c r="L25" s="13">
        <v>10.68</v>
      </c>
      <c r="M25" s="40">
        <f>+G25*30</f>
        <v>345.59999999999997</v>
      </c>
      <c r="S25" s="232">
        <v>13.971672000000002</v>
      </c>
      <c r="T25" s="193">
        <v>14.23</v>
      </c>
      <c r="U25" s="272">
        <v>14.95</v>
      </c>
      <c r="V25" s="272">
        <v>16.904</v>
      </c>
      <c r="W25" s="272">
        <f>+V25*1.062</f>
        <v>17.952048000000001</v>
      </c>
      <c r="X25" s="302">
        <f t="shared" si="4"/>
        <v>20.571251803199999</v>
      </c>
      <c r="Y25" s="311">
        <f t="shared" ref="Y25:Y26" si="5">+X25*1.048</f>
        <v>21.558671889753601</v>
      </c>
    </row>
    <row r="26" spans="1:25" x14ac:dyDescent="0.2">
      <c r="A26" s="19"/>
      <c r="B26" s="2" t="s">
        <v>62</v>
      </c>
      <c r="D26" s="25" t="s">
        <v>47</v>
      </c>
      <c r="E26" s="9"/>
      <c r="F26" s="114">
        <v>11.441117438399999</v>
      </c>
      <c r="G26" s="114">
        <v>12.29</v>
      </c>
      <c r="I26" s="51">
        <f t="shared" si="0"/>
        <v>14.010599999999998</v>
      </c>
      <c r="J26" s="51"/>
      <c r="K26" s="33"/>
      <c r="L26" s="13">
        <v>15.33</v>
      </c>
      <c r="M26" s="40">
        <f>+G26*60</f>
        <v>737.4</v>
      </c>
      <c r="S26" s="232">
        <v>14.843556</v>
      </c>
      <c r="T26" s="193">
        <v>15.12</v>
      </c>
      <c r="U26" s="272">
        <v>15.89</v>
      </c>
      <c r="V26" s="272">
        <v>17.966799999999999</v>
      </c>
      <c r="W26" s="272">
        <f>+V26*1.062</f>
        <v>19.0807416</v>
      </c>
      <c r="X26" s="302">
        <f t="shared" si="4"/>
        <v>21.864621799439998</v>
      </c>
      <c r="Y26" s="311">
        <f t="shared" si="5"/>
        <v>22.91412364581312</v>
      </c>
    </row>
    <row r="27" spans="1:25" x14ac:dyDescent="0.2">
      <c r="A27" s="19"/>
      <c r="B27" s="2"/>
      <c r="D27" s="25"/>
      <c r="E27" s="9"/>
      <c r="F27" s="35"/>
      <c r="G27" s="35"/>
      <c r="I27" s="51"/>
      <c r="J27" s="51"/>
      <c r="K27" s="33"/>
      <c r="L27" s="13">
        <v>13.25</v>
      </c>
      <c r="M27" s="40"/>
      <c r="S27" s="233"/>
      <c r="T27" s="194"/>
      <c r="U27" s="271"/>
      <c r="V27" s="271"/>
      <c r="W27" s="271"/>
      <c r="X27" s="303"/>
      <c r="Y27" s="310"/>
    </row>
    <row r="28" spans="1:25" x14ac:dyDescent="0.2">
      <c r="A28" s="20" t="s">
        <v>64</v>
      </c>
      <c r="B28" s="10"/>
      <c r="E28" s="9"/>
      <c r="F28" s="35"/>
      <c r="G28" s="35"/>
      <c r="I28" s="51"/>
      <c r="J28" s="51"/>
      <c r="K28" s="18"/>
      <c r="M28" s="40"/>
      <c r="S28" s="233"/>
      <c r="T28" s="194"/>
      <c r="U28" s="271"/>
      <c r="V28" s="271"/>
      <c r="W28" s="271"/>
      <c r="X28" s="303"/>
      <c r="Y28" s="310"/>
    </row>
    <row r="29" spans="1:25" x14ac:dyDescent="0.2">
      <c r="A29" s="19"/>
      <c r="B29" s="10" t="s">
        <v>2</v>
      </c>
      <c r="E29" s="9"/>
      <c r="F29" s="35"/>
      <c r="G29" s="35"/>
      <c r="I29" s="51"/>
      <c r="J29" s="51"/>
      <c r="K29" s="33"/>
      <c r="L29" s="13"/>
      <c r="M29" s="40"/>
      <c r="S29" s="233"/>
      <c r="T29" s="194"/>
      <c r="U29" s="271"/>
      <c r="V29" s="271"/>
      <c r="W29" s="271"/>
      <c r="X29" s="303"/>
      <c r="Y29" s="310"/>
    </row>
    <row r="30" spans="1:25" x14ac:dyDescent="0.2">
      <c r="A30" s="19"/>
      <c r="B30" s="10" t="s">
        <v>44</v>
      </c>
      <c r="D30" s="25" t="s">
        <v>47</v>
      </c>
      <c r="E30" s="11"/>
      <c r="F30" s="114">
        <v>25.027444396500002</v>
      </c>
      <c r="G30" s="114">
        <v>26.88</v>
      </c>
      <c r="I30" s="51">
        <f t="shared" si="0"/>
        <v>30.643199999999997</v>
      </c>
      <c r="J30" s="51"/>
      <c r="K30" s="33"/>
      <c r="L30" s="13">
        <f>180*30.64</f>
        <v>5515.2</v>
      </c>
      <c r="M30" s="40">
        <v>1200</v>
      </c>
      <c r="S30" s="232">
        <v>28.933631999999999</v>
      </c>
      <c r="T30" s="193">
        <v>29.48</v>
      </c>
      <c r="U30" s="272">
        <v>31.5</v>
      </c>
      <c r="V30" s="272">
        <v>35.617100000000001</v>
      </c>
      <c r="W30" s="272">
        <f>+V30*1.062</f>
        <v>37.825360200000006</v>
      </c>
      <c r="X30" s="302">
        <f t="shared" ref="X30:X31" si="6">+W30*1.1459</f>
        <v>43.344080253180003</v>
      </c>
      <c r="Y30" s="311">
        <f t="shared" ref="Y30:Y31" si="7">+X30*1.048</f>
        <v>45.424596105332647</v>
      </c>
    </row>
    <row r="31" spans="1:25" x14ac:dyDescent="0.2">
      <c r="A31" s="19"/>
      <c r="B31" s="10" t="s">
        <v>41</v>
      </c>
      <c r="E31" s="9"/>
      <c r="F31" s="114">
        <v>1.2156187278299999</v>
      </c>
      <c r="G31" s="114">
        <v>1.31</v>
      </c>
      <c r="I31" s="51">
        <f t="shared" si="0"/>
        <v>1.4933999999999998</v>
      </c>
      <c r="J31" s="51"/>
      <c r="K31" s="33">
        <f>108.46*1.14</f>
        <v>123.64439999999998</v>
      </c>
      <c r="L31" s="13">
        <f>+L30*0.12280701754386</f>
        <v>677.30526315789666</v>
      </c>
      <c r="M31" s="40">
        <v>70</v>
      </c>
      <c r="S31" s="232">
        <v>1.4100840000000001</v>
      </c>
      <c r="T31" s="193">
        <v>1.44</v>
      </c>
      <c r="U31" s="272">
        <f>+T31*1.0684</f>
        <v>1.5384959999999999</v>
      </c>
      <c r="V31" s="272">
        <v>1.7396</v>
      </c>
      <c r="W31" s="272">
        <f>+V31*1.062</f>
        <v>1.8474552000000002</v>
      </c>
      <c r="X31" s="302">
        <f t="shared" si="6"/>
        <v>2.1169989136800003</v>
      </c>
      <c r="Y31" s="311">
        <f t="shared" si="7"/>
        <v>2.2186148615366403</v>
      </c>
    </row>
    <row r="32" spans="1:25" x14ac:dyDescent="0.2">
      <c r="A32" s="19" t="s">
        <v>393</v>
      </c>
      <c r="B32" s="10"/>
      <c r="E32" s="9"/>
      <c r="F32" s="35"/>
      <c r="G32" s="35"/>
      <c r="I32" s="51"/>
      <c r="J32" s="51"/>
      <c r="K32" s="33"/>
      <c r="L32" s="13"/>
      <c r="M32" s="40"/>
      <c r="S32" s="233"/>
      <c r="T32" s="194"/>
      <c r="U32" s="271"/>
      <c r="V32" s="271"/>
      <c r="W32" s="271"/>
      <c r="X32" s="303"/>
      <c r="Y32" s="310"/>
    </row>
    <row r="33" spans="1:26" x14ac:dyDescent="0.2">
      <c r="A33" s="19" t="s">
        <v>394</v>
      </c>
      <c r="B33" s="10"/>
      <c r="E33" s="9"/>
      <c r="F33" s="35"/>
      <c r="G33" s="35"/>
      <c r="I33" s="51"/>
      <c r="J33" s="51"/>
      <c r="K33" s="33"/>
      <c r="L33" s="13"/>
      <c r="M33" s="40"/>
      <c r="S33" s="233"/>
      <c r="T33" s="194"/>
      <c r="U33" s="271"/>
      <c r="V33" s="271"/>
      <c r="W33" s="271"/>
      <c r="X33" s="303"/>
      <c r="Y33" s="310"/>
    </row>
    <row r="34" spans="1:26" x14ac:dyDescent="0.2">
      <c r="A34" s="19" t="s">
        <v>395</v>
      </c>
      <c r="B34" s="10"/>
      <c r="E34" s="9"/>
      <c r="F34" s="35"/>
      <c r="G34" s="35"/>
      <c r="I34" s="51"/>
      <c r="J34" s="51"/>
      <c r="K34" s="33"/>
      <c r="L34" s="13"/>
      <c r="M34" s="40"/>
      <c r="S34" s="233"/>
      <c r="T34" s="194"/>
      <c r="U34" s="271"/>
      <c r="V34" s="271"/>
      <c r="W34" s="271"/>
      <c r="X34" s="303"/>
      <c r="Y34" s="310"/>
    </row>
    <row r="35" spans="1:26" x14ac:dyDescent="0.2">
      <c r="A35" s="19"/>
      <c r="E35" s="9"/>
      <c r="F35" s="35"/>
      <c r="G35" s="35"/>
      <c r="I35" s="51"/>
      <c r="J35" s="51"/>
      <c r="K35" s="18"/>
      <c r="M35" s="40"/>
      <c r="S35" s="233"/>
      <c r="T35" s="194"/>
      <c r="U35" s="271"/>
      <c r="V35" s="271"/>
      <c r="W35" s="271"/>
      <c r="X35" s="303"/>
      <c r="Y35" s="310"/>
    </row>
    <row r="36" spans="1:26" x14ac:dyDescent="0.2">
      <c r="A36" s="17" t="s">
        <v>422</v>
      </c>
      <c r="B36" s="7"/>
      <c r="E36" s="12"/>
      <c r="F36" s="36"/>
      <c r="G36" s="36"/>
      <c r="I36" s="51"/>
      <c r="J36" s="51"/>
      <c r="K36" s="18"/>
      <c r="L36" s="13">
        <f>+L30-L31</f>
        <v>4837.8947368421032</v>
      </c>
      <c r="M36" s="40"/>
      <c r="S36" s="235"/>
      <c r="T36" s="196"/>
      <c r="U36" s="274"/>
      <c r="V36" s="274"/>
      <c r="W36" s="274"/>
      <c r="X36" s="305"/>
      <c r="Y36" s="310"/>
    </row>
    <row r="37" spans="1:26" x14ac:dyDescent="0.2">
      <c r="A37" s="19" t="s">
        <v>54</v>
      </c>
      <c r="E37" s="12"/>
      <c r="F37" s="35"/>
      <c r="G37" s="35"/>
      <c r="I37" s="51"/>
      <c r="J37" s="51"/>
      <c r="K37" s="18">
        <f>1.49*14/114</f>
        <v>0.18298245614035089</v>
      </c>
      <c r="M37" s="40"/>
      <c r="S37" s="233"/>
      <c r="T37" s="194"/>
      <c r="U37" s="271"/>
      <c r="V37" s="271"/>
      <c r="W37" s="271"/>
      <c r="X37" s="303"/>
      <c r="Y37" s="310"/>
    </row>
    <row r="38" spans="1:26" x14ac:dyDescent="0.2">
      <c r="A38" s="27" t="s">
        <v>44</v>
      </c>
      <c r="B38" s="10"/>
      <c r="D38" s="25" t="str">
        <f>+D30</f>
        <v>per ampere per maand</v>
      </c>
      <c r="E38" s="11"/>
      <c r="F38" s="114">
        <v>26.228761727532</v>
      </c>
      <c r="G38" s="114">
        <v>28.17</v>
      </c>
      <c r="I38" s="51">
        <f t="shared" si="0"/>
        <v>32.113799999999998</v>
      </c>
      <c r="J38" s="51"/>
      <c r="K38" s="33">
        <f>+K37-1.49</f>
        <v>-1.3070175438596492</v>
      </c>
      <c r="L38" s="13"/>
      <c r="M38" s="40"/>
      <c r="S38" s="232">
        <v>34.014240000000001</v>
      </c>
      <c r="T38" s="193">
        <v>34.590000000000003</v>
      </c>
      <c r="U38" s="272">
        <v>36.96</v>
      </c>
      <c r="V38" s="272">
        <v>41.790700000000001</v>
      </c>
      <c r="W38" s="272">
        <f>+V38*1.062</f>
        <v>44.381723400000006</v>
      </c>
      <c r="X38" s="302">
        <f t="shared" ref="X38:X39" si="8">+W38*1.1459</f>
        <v>50.857016844060006</v>
      </c>
      <c r="Y38" s="311">
        <f t="shared" ref="Y38:Y39" si="9">+X38*1.048</f>
        <v>53.298153652574889</v>
      </c>
      <c r="Z38" s="2"/>
    </row>
    <row r="39" spans="1:26" x14ac:dyDescent="0.2">
      <c r="A39" s="27" t="s">
        <v>41</v>
      </c>
      <c r="B39" s="10"/>
      <c r="E39" s="11"/>
      <c r="F39" s="114">
        <v>1.2156187278299999</v>
      </c>
      <c r="G39" s="114">
        <v>1.31</v>
      </c>
      <c r="I39" s="51">
        <f t="shared" si="0"/>
        <v>1.4933999999999998</v>
      </c>
      <c r="J39" s="51"/>
      <c r="K39" s="33"/>
      <c r="L39" s="13"/>
      <c r="M39" s="40"/>
      <c r="S39" s="232">
        <v>1.5715440000000001</v>
      </c>
      <c r="T39" s="193">
        <v>1.6</v>
      </c>
      <c r="U39" s="272">
        <f>+T39*1.0684</f>
        <v>1.7094400000000001</v>
      </c>
      <c r="V39" s="272">
        <v>1.9329000000000001</v>
      </c>
      <c r="W39" s="272">
        <f>+V39*1.062</f>
        <v>2.0527398000000003</v>
      </c>
      <c r="X39" s="302">
        <f t="shared" si="8"/>
        <v>2.3522345368200002</v>
      </c>
      <c r="Y39" s="311">
        <f t="shared" si="9"/>
        <v>2.4651417945873604</v>
      </c>
    </row>
    <row r="40" spans="1:26" x14ac:dyDescent="0.2">
      <c r="A40" s="27"/>
      <c r="B40" s="10"/>
      <c r="E40" s="11"/>
      <c r="F40" s="36"/>
      <c r="G40" s="36"/>
      <c r="I40" s="51"/>
      <c r="J40" s="51"/>
      <c r="K40" s="18"/>
      <c r="M40" s="40"/>
      <c r="S40" s="235"/>
      <c r="T40" s="196"/>
      <c r="U40" s="274"/>
      <c r="V40" s="274"/>
      <c r="W40" s="274"/>
      <c r="X40" s="305"/>
      <c r="Y40" s="310"/>
    </row>
    <row r="41" spans="1:26" x14ac:dyDescent="0.2">
      <c r="A41" s="17" t="s">
        <v>48</v>
      </c>
      <c r="B41" s="7"/>
      <c r="E41" s="12"/>
      <c r="F41" s="35"/>
      <c r="G41" s="35"/>
      <c r="I41" s="51"/>
      <c r="J41" s="51"/>
      <c r="K41" s="18"/>
      <c r="M41" s="40">
        <f t="shared" ref="M41:M45" si="10">+G41*$K$4+G41</f>
        <v>0</v>
      </c>
      <c r="S41" s="233"/>
      <c r="T41" s="194"/>
      <c r="U41" s="271"/>
      <c r="V41" s="271"/>
      <c r="W41" s="271"/>
      <c r="X41" s="303"/>
      <c r="Y41" s="310"/>
    </row>
    <row r="42" spans="1:26" x14ac:dyDescent="0.2">
      <c r="A42" s="19" t="s">
        <v>54</v>
      </c>
      <c r="E42" s="12"/>
      <c r="F42" s="35"/>
      <c r="G42" s="35"/>
      <c r="I42" s="51"/>
      <c r="J42" s="51"/>
      <c r="K42" s="18"/>
      <c r="M42" s="40">
        <f t="shared" si="10"/>
        <v>0</v>
      </c>
      <c r="S42" s="233"/>
      <c r="T42" s="194"/>
      <c r="U42" s="271"/>
      <c r="V42" s="271"/>
      <c r="W42" s="271"/>
      <c r="X42" s="303"/>
      <c r="Y42" s="310"/>
    </row>
    <row r="43" spans="1:26" x14ac:dyDescent="0.2">
      <c r="A43" s="27" t="s">
        <v>41</v>
      </c>
      <c r="B43" s="10"/>
      <c r="C43" s="25" t="s">
        <v>65</v>
      </c>
      <c r="E43" s="12"/>
      <c r="F43" s="114">
        <v>1.2156187278299999</v>
      </c>
      <c r="G43" s="114">
        <v>1.31</v>
      </c>
      <c r="I43" s="51">
        <f t="shared" si="0"/>
        <v>1.4933999999999998</v>
      </c>
      <c r="J43" s="51"/>
      <c r="K43" s="33"/>
      <c r="L43" s="13"/>
      <c r="M43" s="40">
        <f t="shared" si="10"/>
        <v>1.31</v>
      </c>
      <c r="S43" s="232">
        <v>1.5715440000000001</v>
      </c>
      <c r="T43" s="193">
        <v>1.6</v>
      </c>
      <c r="U43" s="272">
        <f>+T43*1.0684</f>
        <v>1.7094400000000001</v>
      </c>
      <c r="V43" s="272">
        <v>1.9329000000000001</v>
      </c>
      <c r="W43" s="272">
        <f>+V43*1.062</f>
        <v>2.0527398000000003</v>
      </c>
      <c r="X43" s="302">
        <f t="shared" ref="X43:X45" si="11">+W43*1.1459</f>
        <v>2.3522345368200002</v>
      </c>
      <c r="Y43" s="311">
        <f t="shared" ref="Y43:Y45" si="12">+X43*1.048</f>
        <v>2.4651417945873604</v>
      </c>
    </row>
    <row r="44" spans="1:26" x14ac:dyDescent="0.2">
      <c r="A44" s="27"/>
      <c r="B44" s="10"/>
      <c r="C44" s="25" t="s">
        <v>66</v>
      </c>
      <c r="E44" s="12"/>
      <c r="F44" s="114">
        <v>0.92959079186999993</v>
      </c>
      <c r="G44" s="114">
        <v>1</v>
      </c>
      <c r="I44" s="51">
        <f t="shared" si="0"/>
        <v>1.1399999999999999</v>
      </c>
      <c r="J44" s="51"/>
      <c r="K44" s="33"/>
      <c r="L44" s="13"/>
      <c r="M44" s="40"/>
      <c r="S44" s="232">
        <v>1.2055680000000002</v>
      </c>
      <c r="T44" s="193">
        <v>1.23</v>
      </c>
      <c r="U44" s="272">
        <f>+T44*1.0684</f>
        <v>1.3141320000000001</v>
      </c>
      <c r="V44" s="272">
        <v>1.4859</v>
      </c>
      <c r="W44" s="272">
        <f>+V44*1.062</f>
        <v>1.5780258</v>
      </c>
      <c r="X44" s="302">
        <f t="shared" si="11"/>
        <v>1.80825976422</v>
      </c>
      <c r="Y44" s="311">
        <f t="shared" si="12"/>
        <v>1.89505623290256</v>
      </c>
    </row>
    <row r="45" spans="1:26" x14ac:dyDescent="0.2">
      <c r="A45" s="27" t="s">
        <v>45</v>
      </c>
      <c r="B45" s="10"/>
      <c r="D45" s="25" t="s">
        <v>46</v>
      </c>
      <c r="E45" s="12"/>
      <c r="F45" s="114">
        <v>108.69061566480001</v>
      </c>
      <c r="G45" s="114">
        <v>116.72</v>
      </c>
      <c r="I45" s="51">
        <f t="shared" si="0"/>
        <v>133.0608</v>
      </c>
      <c r="J45" s="51"/>
      <c r="K45" s="33"/>
      <c r="L45" s="13"/>
      <c r="M45" s="40">
        <f t="shared" si="10"/>
        <v>116.72</v>
      </c>
      <c r="S45" s="232">
        <v>140.96534400000002</v>
      </c>
      <c r="T45" s="193">
        <v>143.62</v>
      </c>
      <c r="U45" s="272">
        <v>150.94</v>
      </c>
      <c r="V45" s="272">
        <v>170.6679</v>
      </c>
      <c r="W45" s="272">
        <f>+V45*1.062</f>
        <v>181.24930980000002</v>
      </c>
      <c r="X45" s="302">
        <f t="shared" si="11"/>
        <v>207.69358409982001</v>
      </c>
      <c r="Y45" s="311">
        <f t="shared" si="12"/>
        <v>217.66287613661137</v>
      </c>
    </row>
    <row r="46" spans="1:26" x14ac:dyDescent="0.2">
      <c r="A46" s="27"/>
      <c r="B46" s="10"/>
      <c r="D46" s="25"/>
      <c r="E46" s="12"/>
      <c r="F46" s="35"/>
      <c r="G46" s="35"/>
      <c r="I46" s="51"/>
      <c r="J46" s="51"/>
      <c r="K46" s="33"/>
      <c r="L46" s="13"/>
      <c r="M46" s="40"/>
      <c r="S46" s="233"/>
      <c r="T46" s="194"/>
      <c r="U46" s="271"/>
      <c r="V46" s="272"/>
      <c r="W46" s="272"/>
      <c r="X46" s="340"/>
      <c r="Y46" s="313"/>
    </row>
    <row r="47" spans="1:26" x14ac:dyDescent="0.2">
      <c r="A47" s="17" t="s">
        <v>162</v>
      </c>
      <c r="B47" s="10"/>
      <c r="E47" s="12"/>
      <c r="F47" s="37"/>
      <c r="G47" s="28"/>
      <c r="H47" s="10"/>
      <c r="I47" s="50"/>
      <c r="J47" s="50"/>
      <c r="K47" s="18"/>
      <c r="S47" s="158"/>
      <c r="T47" s="163"/>
      <c r="U47" s="163"/>
      <c r="V47" s="336">
        <v>0</v>
      </c>
      <c r="W47" s="336">
        <v>0</v>
      </c>
      <c r="X47" s="331">
        <v>0</v>
      </c>
      <c r="Y47" s="332">
        <v>0</v>
      </c>
    </row>
    <row r="48" spans="1:26" x14ac:dyDescent="0.2">
      <c r="A48" s="20" t="s">
        <v>135</v>
      </c>
      <c r="B48" s="10"/>
      <c r="E48" s="12"/>
      <c r="F48" s="117"/>
      <c r="G48" s="116"/>
      <c r="H48" s="10"/>
      <c r="I48" s="50"/>
      <c r="J48" s="50"/>
      <c r="K48" s="18"/>
      <c r="S48" s="222">
        <v>2500</v>
      </c>
      <c r="T48" s="156">
        <v>2500</v>
      </c>
      <c r="U48" s="156">
        <v>2800</v>
      </c>
      <c r="V48" s="156">
        <v>2800</v>
      </c>
      <c r="W48" s="156">
        <v>2800</v>
      </c>
      <c r="X48" s="159">
        <v>2800</v>
      </c>
      <c r="Y48" s="314">
        <v>2800</v>
      </c>
    </row>
    <row r="49" spans="1:25" x14ac:dyDescent="0.2">
      <c r="A49" s="20" t="s">
        <v>136</v>
      </c>
      <c r="B49" s="10"/>
      <c r="E49" s="12"/>
      <c r="F49" s="117"/>
      <c r="G49" s="116"/>
      <c r="H49" s="10"/>
      <c r="I49" s="50"/>
      <c r="J49" s="50"/>
      <c r="K49" s="18"/>
      <c r="S49" s="222">
        <v>6000</v>
      </c>
      <c r="T49" s="156">
        <v>6000</v>
      </c>
      <c r="U49" s="156">
        <v>6300</v>
      </c>
      <c r="V49" s="156">
        <v>6300</v>
      </c>
      <c r="W49" s="156">
        <v>6300</v>
      </c>
      <c r="X49" s="159">
        <v>6300</v>
      </c>
      <c r="Y49" s="314">
        <v>6300</v>
      </c>
    </row>
    <row r="50" spans="1:25" x14ac:dyDescent="0.2">
      <c r="A50" s="20"/>
      <c r="B50" s="10"/>
      <c r="E50" s="12"/>
      <c r="F50" s="37"/>
      <c r="G50" s="28"/>
      <c r="H50" s="10"/>
      <c r="I50" s="50"/>
      <c r="J50" s="50"/>
      <c r="K50" s="18"/>
      <c r="S50" s="158"/>
      <c r="T50" s="163"/>
      <c r="U50" s="163"/>
      <c r="V50" s="163"/>
      <c r="W50" s="163"/>
      <c r="X50" s="28"/>
      <c r="Y50" s="313"/>
    </row>
    <row r="51" spans="1:25" x14ac:dyDescent="0.2">
      <c r="A51" s="17" t="s">
        <v>383</v>
      </c>
      <c r="B51" s="10"/>
      <c r="E51" s="11"/>
      <c r="F51" s="41" t="s">
        <v>164</v>
      </c>
      <c r="G51" s="116"/>
      <c r="I51" s="50"/>
      <c r="J51" s="50"/>
      <c r="K51" s="18"/>
      <c r="S51" s="222">
        <v>1000</v>
      </c>
      <c r="T51" s="156">
        <v>1000</v>
      </c>
      <c r="U51" s="156">
        <v>1000</v>
      </c>
      <c r="V51" s="156">
        <v>1000</v>
      </c>
      <c r="W51" s="156">
        <v>1000</v>
      </c>
      <c r="X51" s="159">
        <v>1000</v>
      </c>
      <c r="Y51" s="314">
        <v>1000</v>
      </c>
    </row>
    <row r="52" spans="1:25" x14ac:dyDescent="0.2">
      <c r="A52" s="17"/>
      <c r="B52" s="10"/>
      <c r="E52" s="11"/>
      <c r="F52" s="41"/>
      <c r="G52" s="28"/>
      <c r="I52" s="50"/>
      <c r="J52" s="50"/>
      <c r="K52" s="18"/>
      <c r="S52" s="158"/>
      <c r="T52" s="163"/>
      <c r="U52" s="163"/>
      <c r="V52" s="163"/>
      <c r="W52" s="163"/>
      <c r="X52" s="28"/>
      <c r="Y52" s="310"/>
    </row>
    <row r="53" spans="1:25" x14ac:dyDescent="0.2">
      <c r="A53" s="27"/>
      <c r="B53" s="10"/>
      <c r="E53" s="11"/>
      <c r="F53" s="39"/>
      <c r="G53" s="28"/>
      <c r="I53" s="50"/>
      <c r="J53" s="50"/>
      <c r="K53" s="18"/>
      <c r="S53" s="158"/>
      <c r="T53" s="163"/>
      <c r="U53" s="163"/>
      <c r="V53" s="259"/>
      <c r="W53" s="259"/>
      <c r="X53" s="298"/>
      <c r="Y53" s="341"/>
    </row>
    <row r="54" spans="1:25" x14ac:dyDescent="0.2">
      <c r="A54" s="17" t="s">
        <v>179</v>
      </c>
      <c r="B54" s="10"/>
      <c r="E54" s="11"/>
      <c r="F54" s="39"/>
      <c r="G54" s="28"/>
      <c r="I54" s="50"/>
      <c r="J54" s="50"/>
      <c r="K54" s="18"/>
      <c r="S54" s="158"/>
      <c r="T54" s="163"/>
      <c r="U54" s="163"/>
      <c r="V54" s="336">
        <v>0</v>
      </c>
      <c r="W54" s="336">
        <v>0</v>
      </c>
      <c r="X54" s="331">
        <v>0</v>
      </c>
      <c r="Y54" s="332">
        <v>0</v>
      </c>
    </row>
    <row r="55" spans="1:25" x14ac:dyDescent="0.2">
      <c r="A55" s="19" t="s">
        <v>3</v>
      </c>
      <c r="F55" s="124" t="s">
        <v>4</v>
      </c>
      <c r="G55" s="124" t="s">
        <v>4</v>
      </c>
      <c r="H55" s="2"/>
      <c r="I55" s="79"/>
      <c r="J55" s="79"/>
      <c r="K55" s="134"/>
      <c r="L55" s="2"/>
      <c r="M55" s="2"/>
      <c r="N55" s="2"/>
      <c r="O55" s="2"/>
      <c r="P55" s="2"/>
      <c r="Q55" s="2"/>
      <c r="R55" s="2"/>
      <c r="S55" s="236" t="s">
        <v>4</v>
      </c>
      <c r="T55" s="197" t="s">
        <v>4</v>
      </c>
      <c r="U55" s="197" t="s">
        <v>4</v>
      </c>
      <c r="V55" s="197" t="s">
        <v>4</v>
      </c>
      <c r="W55" s="197" t="s">
        <v>4</v>
      </c>
      <c r="X55" s="293" t="s">
        <v>4</v>
      </c>
      <c r="Y55" s="315" t="s">
        <v>4</v>
      </c>
    </row>
    <row r="56" spans="1:25" x14ac:dyDescent="0.2">
      <c r="A56" s="20" t="s">
        <v>177</v>
      </c>
      <c r="F56" s="124"/>
      <c r="G56" s="124"/>
      <c r="H56" s="2"/>
      <c r="I56" s="79"/>
      <c r="J56" s="79"/>
      <c r="K56" s="134"/>
      <c r="L56" s="2"/>
      <c r="M56" s="2"/>
      <c r="N56" s="2"/>
      <c r="O56" s="2"/>
      <c r="P56" s="2"/>
      <c r="Q56" s="2"/>
      <c r="R56" s="2"/>
      <c r="S56" s="236">
        <v>1000</v>
      </c>
      <c r="T56" s="197">
        <v>1000</v>
      </c>
      <c r="U56" s="197">
        <v>1000</v>
      </c>
      <c r="V56" s="197">
        <v>1000</v>
      </c>
      <c r="W56" s="197">
        <v>1000</v>
      </c>
      <c r="X56" s="293">
        <v>1000</v>
      </c>
      <c r="Y56" s="316">
        <v>1000</v>
      </c>
    </row>
    <row r="57" spans="1:25" x14ac:dyDescent="0.2">
      <c r="A57" s="20" t="s">
        <v>183</v>
      </c>
      <c r="F57" s="124"/>
      <c r="G57" s="124"/>
      <c r="H57" s="2"/>
      <c r="I57" s="79"/>
      <c r="J57" s="79"/>
      <c r="K57" s="134"/>
      <c r="L57" s="2"/>
      <c r="M57" s="2"/>
      <c r="N57" s="2"/>
      <c r="O57" s="2"/>
      <c r="P57" s="2"/>
      <c r="Q57" s="2"/>
      <c r="R57" s="2"/>
      <c r="S57" s="236">
        <v>230</v>
      </c>
      <c r="T57" s="197">
        <v>245</v>
      </c>
      <c r="U57" s="197">
        <v>260</v>
      </c>
      <c r="V57" s="197">
        <v>260</v>
      </c>
      <c r="W57" s="197">
        <v>260</v>
      </c>
      <c r="X57" s="293">
        <v>260</v>
      </c>
      <c r="Y57" s="316">
        <v>260</v>
      </c>
    </row>
    <row r="58" spans="1:25" x14ac:dyDescent="0.2">
      <c r="A58" s="20" t="s">
        <v>184</v>
      </c>
      <c r="F58" s="124"/>
      <c r="G58" s="124"/>
      <c r="H58" s="2"/>
      <c r="I58" s="79"/>
      <c r="J58" s="79"/>
      <c r="K58" s="134"/>
      <c r="L58" s="2"/>
      <c r="M58" s="2"/>
      <c r="N58" s="2"/>
      <c r="O58" s="2"/>
      <c r="P58" s="2"/>
      <c r="Q58" s="2"/>
      <c r="R58" s="2"/>
      <c r="S58" s="236">
        <v>230</v>
      </c>
      <c r="T58" s="197">
        <v>230</v>
      </c>
      <c r="U58" s="197">
        <v>230</v>
      </c>
      <c r="V58" s="197">
        <v>260</v>
      </c>
      <c r="W58" s="197">
        <v>260</v>
      </c>
      <c r="X58" s="293">
        <v>260</v>
      </c>
      <c r="Y58" s="316">
        <v>260</v>
      </c>
    </row>
    <row r="59" spans="1:25" ht="13.5" thickBot="1" x14ac:dyDescent="0.25">
      <c r="A59" s="21" t="s">
        <v>141</v>
      </c>
      <c r="B59" s="22"/>
      <c r="C59" s="22"/>
      <c r="D59" s="22"/>
      <c r="E59" s="58"/>
      <c r="F59" s="139"/>
      <c r="G59" s="140">
        <v>350</v>
      </c>
      <c r="H59" s="22"/>
      <c r="I59" s="52"/>
      <c r="J59" s="52"/>
      <c r="K59" s="23"/>
      <c r="L59" s="22"/>
      <c r="M59" s="22"/>
      <c r="N59" s="22"/>
      <c r="O59" s="22"/>
      <c r="P59" s="22"/>
      <c r="Q59" s="22"/>
      <c r="R59" s="22"/>
      <c r="S59" s="237">
        <v>175</v>
      </c>
      <c r="T59" s="191">
        <v>185</v>
      </c>
      <c r="U59" s="191">
        <v>195</v>
      </c>
      <c r="V59" s="191">
        <v>210</v>
      </c>
      <c r="W59" s="191">
        <v>210</v>
      </c>
      <c r="X59" s="306">
        <v>240</v>
      </c>
      <c r="Y59" s="317">
        <v>240</v>
      </c>
    </row>
    <row r="60" spans="1:25" ht="13.5" thickBot="1" x14ac:dyDescent="0.25">
      <c r="A60" s="29"/>
      <c r="B60" s="30"/>
      <c r="C60" s="30"/>
      <c r="D60" s="30"/>
      <c r="E60" s="30"/>
      <c r="F60" s="138"/>
      <c r="G60" s="138"/>
      <c r="H60" s="30"/>
      <c r="I60" s="59"/>
      <c r="J60" s="59"/>
      <c r="K60" s="56">
        <v>7</v>
      </c>
      <c r="L60" s="30">
        <v>7</v>
      </c>
      <c r="M60" s="30">
        <v>7</v>
      </c>
      <c r="N60" s="30"/>
      <c r="O60" s="30"/>
      <c r="P60" s="30"/>
      <c r="Q60" s="30"/>
      <c r="R60" s="30"/>
      <c r="S60" s="238"/>
      <c r="T60" s="198"/>
      <c r="U60" s="198"/>
      <c r="V60" s="198"/>
      <c r="W60" s="198"/>
      <c r="X60" s="138"/>
      <c r="Y60" s="318"/>
    </row>
    <row r="61" spans="1:25" ht="13.5" thickBot="1" x14ac:dyDescent="0.25">
      <c r="A61" s="19"/>
      <c r="B61" s="7"/>
      <c r="C61" s="7"/>
      <c r="D61" s="7"/>
      <c r="E61" s="8"/>
      <c r="F61" s="80" t="str">
        <f>+F4</f>
        <v>2013/2014</v>
      </c>
      <c r="G61" s="90" t="str">
        <f>+G4</f>
        <v>2014/2015</v>
      </c>
      <c r="H61" s="7"/>
      <c r="I61" s="86" t="s">
        <v>69</v>
      </c>
      <c r="J61" s="87"/>
      <c r="K61" s="84"/>
      <c r="S61" s="80" t="str">
        <f t="shared" ref="S61:X61" si="13">+S4</f>
        <v>2016/2017</v>
      </c>
      <c r="T61" s="90" t="str">
        <f t="shared" si="13"/>
        <v>2017/2018</v>
      </c>
      <c r="U61" s="90" t="str">
        <f t="shared" si="13"/>
        <v>2018/2019</v>
      </c>
      <c r="V61" s="90" t="str">
        <f t="shared" si="13"/>
        <v>2019/2020</v>
      </c>
      <c r="W61" s="90" t="str">
        <f t="shared" si="13"/>
        <v>2020/2021</v>
      </c>
      <c r="X61" s="80" t="str">
        <f t="shared" si="13"/>
        <v>2021/2022</v>
      </c>
      <c r="Y61" s="308" t="s">
        <v>447</v>
      </c>
    </row>
    <row r="62" spans="1:25" x14ac:dyDescent="0.2">
      <c r="A62" s="17" t="s">
        <v>145</v>
      </c>
      <c r="B62" s="7"/>
      <c r="C62" s="7"/>
      <c r="D62" s="7"/>
      <c r="E62" s="8"/>
      <c r="F62" s="91"/>
      <c r="G62" s="91"/>
      <c r="H62" s="7"/>
      <c r="I62" s="37"/>
      <c r="J62" s="37"/>
      <c r="K62" s="40"/>
      <c r="S62" s="239"/>
      <c r="T62" s="199"/>
      <c r="U62" s="199"/>
      <c r="V62" s="199"/>
      <c r="W62" s="335">
        <v>4.4999999999999998E-2</v>
      </c>
      <c r="X62" s="291">
        <v>4.4999999999999998E-2</v>
      </c>
      <c r="Y62" s="309">
        <v>4.8000000000000001E-2</v>
      </c>
    </row>
    <row r="63" spans="1:25" ht="15.75" customHeight="1" x14ac:dyDescent="0.2">
      <c r="A63" s="20" t="s">
        <v>142</v>
      </c>
      <c r="B63" s="7"/>
      <c r="C63" s="7"/>
      <c r="D63" s="7"/>
      <c r="E63" s="8"/>
      <c r="F63" s="116">
        <v>90</v>
      </c>
      <c r="G63" s="116">
        <v>97</v>
      </c>
      <c r="H63" s="7"/>
      <c r="I63" s="37"/>
      <c r="J63" s="37"/>
      <c r="K63" s="40"/>
      <c r="S63" s="240">
        <v>110.63432000000002</v>
      </c>
      <c r="T63" s="200">
        <v>118.38</v>
      </c>
      <c r="U63" s="200">
        <f>+T63*1.06</f>
        <v>125.4828</v>
      </c>
      <c r="V63" s="200">
        <f t="shared" ref="V63:V77" si="14">+U63*1.054</f>
        <v>132.25887120000002</v>
      </c>
      <c r="W63" s="200">
        <f>+V63*1.045</f>
        <v>138.21052040399999</v>
      </c>
      <c r="X63" s="292">
        <f>+W63*1.045</f>
        <v>144.42999382217999</v>
      </c>
      <c r="Y63" s="319">
        <f t="shared" ref="Y63:Y77" si="15">+X63*1.048</f>
        <v>151.36263352564464</v>
      </c>
    </row>
    <row r="64" spans="1:25" x14ac:dyDescent="0.2">
      <c r="A64" s="19" t="s">
        <v>7</v>
      </c>
      <c r="C64" s="25" t="s">
        <v>68</v>
      </c>
      <c r="E64" s="28"/>
      <c r="F64" s="116">
        <v>90</v>
      </c>
      <c r="G64" s="116">
        <v>97</v>
      </c>
      <c r="I64" s="88">
        <f t="shared" ref="I64:I75" si="16">+G64*1.14</f>
        <v>110.57999999999998</v>
      </c>
      <c r="J64" s="88"/>
      <c r="K64" s="102">
        <f>+G64*1.06</f>
        <v>102.82000000000001</v>
      </c>
      <c r="M64" s="1"/>
      <c r="N64" s="18"/>
      <c r="O64" s="28"/>
      <c r="P64" s="1"/>
      <c r="S64" s="222">
        <v>110.63432000000002</v>
      </c>
      <c r="T64" s="156">
        <v>118.38</v>
      </c>
      <c r="U64" s="200">
        <f t="shared" ref="U64:U77" si="17">+T64*1.06</f>
        <v>125.4828</v>
      </c>
      <c r="V64" s="200">
        <f t="shared" si="14"/>
        <v>132.25887120000002</v>
      </c>
      <c r="W64" s="200">
        <f t="shared" ref="W64:X77" si="18">+V64*1.045</f>
        <v>138.21052040399999</v>
      </c>
      <c r="X64" s="292">
        <f t="shared" si="18"/>
        <v>144.42999382217999</v>
      </c>
      <c r="Y64" s="319">
        <f t="shared" si="15"/>
        <v>151.36263352564464</v>
      </c>
    </row>
    <row r="65" spans="1:37" x14ac:dyDescent="0.2">
      <c r="A65" s="19" t="s">
        <v>8</v>
      </c>
      <c r="C65" s="25" t="s">
        <v>68</v>
      </c>
      <c r="E65" s="28"/>
      <c r="F65" s="116">
        <v>135</v>
      </c>
      <c r="G65" s="116">
        <v>145</v>
      </c>
      <c r="I65" s="88">
        <f t="shared" si="16"/>
        <v>165.29999999999998</v>
      </c>
      <c r="J65" s="88"/>
      <c r="K65" s="40"/>
      <c r="L65" s="1"/>
      <c r="M65" s="1"/>
      <c r="N65" s="18"/>
      <c r="O65" s="1"/>
      <c r="P65" s="1"/>
      <c r="S65" s="222">
        <v>165.38120000000004</v>
      </c>
      <c r="T65" s="156">
        <v>176.96</v>
      </c>
      <c r="U65" s="200">
        <f t="shared" si="17"/>
        <v>187.57760000000002</v>
      </c>
      <c r="V65" s="200">
        <f t="shared" si="14"/>
        <v>197.70679040000002</v>
      </c>
      <c r="W65" s="200">
        <f t="shared" si="18"/>
        <v>206.60359596800001</v>
      </c>
      <c r="X65" s="292">
        <f t="shared" si="18"/>
        <v>215.90075778656001</v>
      </c>
      <c r="Y65" s="319">
        <f t="shared" si="15"/>
        <v>226.26399416031489</v>
      </c>
    </row>
    <row r="66" spans="1:37" x14ac:dyDescent="0.2">
      <c r="A66" s="20" t="s">
        <v>171</v>
      </c>
      <c r="C66" s="25" t="s">
        <v>170</v>
      </c>
      <c r="E66" s="1"/>
      <c r="F66" s="116">
        <v>50</v>
      </c>
      <c r="G66" s="116">
        <v>80</v>
      </c>
      <c r="I66" s="88">
        <f t="shared" si="16"/>
        <v>91.199999999999989</v>
      </c>
      <c r="J66" s="88"/>
      <c r="K66" s="40">
        <f>+G66*1.06</f>
        <v>84.800000000000011</v>
      </c>
      <c r="N66" s="18"/>
      <c r="S66" s="222">
        <v>59</v>
      </c>
      <c r="T66" s="156">
        <v>63.13</v>
      </c>
      <c r="U66" s="200">
        <f t="shared" si="17"/>
        <v>66.9178</v>
      </c>
      <c r="V66" s="200">
        <f t="shared" si="14"/>
        <v>70.531361200000006</v>
      </c>
      <c r="W66" s="200">
        <f t="shared" si="18"/>
        <v>73.705272453999996</v>
      </c>
      <c r="X66" s="292">
        <f t="shared" si="18"/>
        <v>77.022009714429984</v>
      </c>
      <c r="Y66" s="319">
        <f t="shared" si="15"/>
        <v>80.719066180722621</v>
      </c>
    </row>
    <row r="67" spans="1:37" x14ac:dyDescent="0.2">
      <c r="A67" s="20" t="s">
        <v>172</v>
      </c>
      <c r="C67" s="25" t="s">
        <v>170</v>
      </c>
      <c r="E67" s="1"/>
      <c r="F67" s="116">
        <v>50</v>
      </c>
      <c r="G67" s="116">
        <v>80</v>
      </c>
      <c r="I67" s="88"/>
      <c r="J67" s="88"/>
      <c r="K67" s="40"/>
      <c r="S67" s="222">
        <v>59</v>
      </c>
      <c r="T67" s="156">
        <v>63.13</v>
      </c>
      <c r="U67" s="200">
        <f t="shared" si="17"/>
        <v>66.9178</v>
      </c>
      <c r="V67" s="200">
        <f t="shared" si="14"/>
        <v>70.531361200000006</v>
      </c>
      <c r="W67" s="200">
        <f t="shared" si="18"/>
        <v>73.705272453999996</v>
      </c>
      <c r="X67" s="292">
        <f t="shared" si="18"/>
        <v>77.022009714429984</v>
      </c>
      <c r="Y67" s="319">
        <f t="shared" si="15"/>
        <v>80.719066180722621</v>
      </c>
    </row>
    <row r="68" spans="1:37" x14ac:dyDescent="0.2">
      <c r="A68" s="20" t="s">
        <v>173</v>
      </c>
      <c r="C68" s="2"/>
      <c r="E68" s="1"/>
      <c r="F68" s="116">
        <v>0</v>
      </c>
      <c r="G68" s="116">
        <v>0</v>
      </c>
      <c r="I68" s="88"/>
      <c r="J68" s="88"/>
      <c r="K68" s="40"/>
      <c r="S68" s="222">
        <v>110.63432</v>
      </c>
      <c r="T68" s="156">
        <v>118.38</v>
      </c>
      <c r="U68" s="200">
        <f t="shared" si="17"/>
        <v>125.4828</v>
      </c>
      <c r="V68" s="200">
        <f t="shared" si="14"/>
        <v>132.25887120000002</v>
      </c>
      <c r="W68" s="200">
        <f t="shared" si="18"/>
        <v>138.21052040399999</v>
      </c>
      <c r="X68" s="292">
        <f t="shared" si="18"/>
        <v>144.42999382217999</v>
      </c>
      <c r="Y68" s="319">
        <f t="shared" si="15"/>
        <v>151.36263352564464</v>
      </c>
    </row>
    <row r="69" spans="1:37" x14ac:dyDescent="0.2">
      <c r="A69" s="20" t="s">
        <v>174</v>
      </c>
      <c r="C69" s="2"/>
      <c r="E69" s="1"/>
      <c r="F69" s="116">
        <v>0</v>
      </c>
      <c r="G69" s="116">
        <v>0</v>
      </c>
      <c r="I69" s="88"/>
      <c r="J69" s="88"/>
      <c r="K69" s="40"/>
      <c r="S69" s="222">
        <v>165.38120000000001</v>
      </c>
      <c r="T69" s="156">
        <v>176.96</v>
      </c>
      <c r="U69" s="200">
        <f t="shared" si="17"/>
        <v>187.57760000000002</v>
      </c>
      <c r="V69" s="200">
        <f t="shared" si="14"/>
        <v>197.70679040000002</v>
      </c>
      <c r="W69" s="200">
        <f t="shared" si="18"/>
        <v>206.60359596800001</v>
      </c>
      <c r="X69" s="292">
        <f t="shared" si="18"/>
        <v>215.90075778656001</v>
      </c>
      <c r="Y69" s="319">
        <f t="shared" si="15"/>
        <v>226.26399416031489</v>
      </c>
    </row>
    <row r="70" spans="1:37" x14ac:dyDescent="0.2">
      <c r="A70" s="20" t="s">
        <v>381</v>
      </c>
      <c r="C70" s="2"/>
      <c r="E70" s="1"/>
      <c r="F70" s="116"/>
      <c r="G70" s="116">
        <v>0</v>
      </c>
      <c r="H70">
        <v>0</v>
      </c>
      <c r="I70" s="88"/>
      <c r="J70" s="88"/>
      <c r="K70" s="40"/>
      <c r="S70" s="222">
        <v>552.38461360000008</v>
      </c>
      <c r="T70" s="156">
        <v>591.04999999999995</v>
      </c>
      <c r="U70" s="200">
        <f t="shared" si="17"/>
        <v>626.51300000000003</v>
      </c>
      <c r="V70" s="200">
        <f t="shared" si="14"/>
        <v>660.3447020000001</v>
      </c>
      <c r="W70" s="200">
        <f t="shared" si="18"/>
        <v>690.0602135900001</v>
      </c>
      <c r="X70" s="292">
        <f t="shared" si="18"/>
        <v>721.11292320155007</v>
      </c>
      <c r="Y70" s="319">
        <f t="shared" si="15"/>
        <v>755.72634351522447</v>
      </c>
    </row>
    <row r="71" spans="1:37" x14ac:dyDescent="0.2">
      <c r="A71" s="20" t="s">
        <v>382</v>
      </c>
      <c r="C71" s="2"/>
      <c r="E71" s="1"/>
      <c r="F71" s="116"/>
      <c r="G71" s="116"/>
      <c r="I71" s="88"/>
      <c r="J71" s="88"/>
      <c r="K71" s="40"/>
      <c r="S71" s="222">
        <v>14</v>
      </c>
      <c r="T71" s="156">
        <v>14.98</v>
      </c>
      <c r="U71" s="200">
        <f t="shared" si="17"/>
        <v>15.878800000000002</v>
      </c>
      <c r="V71" s="200">
        <f t="shared" si="14"/>
        <v>16.736255200000002</v>
      </c>
      <c r="W71" s="200">
        <f t="shared" si="18"/>
        <v>17.489386683999999</v>
      </c>
      <c r="X71" s="292">
        <f t="shared" si="18"/>
        <v>18.276409084779999</v>
      </c>
      <c r="Y71" s="319">
        <f t="shared" si="15"/>
        <v>19.15367672084944</v>
      </c>
    </row>
    <row r="72" spans="1:37" x14ac:dyDescent="0.2">
      <c r="A72" s="19" t="s">
        <v>161</v>
      </c>
      <c r="E72" s="1"/>
      <c r="F72" s="116">
        <v>150</v>
      </c>
      <c r="G72" s="116">
        <v>360</v>
      </c>
      <c r="I72" s="88">
        <f t="shared" si="16"/>
        <v>410.4</v>
      </c>
      <c r="J72" s="88"/>
      <c r="K72" s="84"/>
      <c r="S72" s="222">
        <v>409</v>
      </c>
      <c r="T72" s="156">
        <v>437.63</v>
      </c>
      <c r="U72" s="200">
        <f t="shared" si="17"/>
        <v>463.88780000000003</v>
      </c>
      <c r="V72" s="200">
        <f t="shared" si="14"/>
        <v>488.93774120000006</v>
      </c>
      <c r="W72" s="200">
        <f t="shared" si="18"/>
        <v>510.93993955400003</v>
      </c>
      <c r="X72" s="292">
        <f t="shared" si="18"/>
        <v>533.93223683393001</v>
      </c>
      <c r="Y72" s="319">
        <f t="shared" si="15"/>
        <v>559.56098420195872</v>
      </c>
    </row>
    <row r="73" spans="1:37" x14ac:dyDescent="0.2">
      <c r="A73" s="20" t="s">
        <v>168</v>
      </c>
      <c r="E73" s="1"/>
      <c r="F73" s="116">
        <v>60</v>
      </c>
      <c r="G73" s="116">
        <v>75</v>
      </c>
      <c r="I73" s="88">
        <f t="shared" si="16"/>
        <v>85.499999999999986</v>
      </c>
      <c r="J73" s="88"/>
      <c r="K73" s="84"/>
      <c r="M73" t="s">
        <v>128</v>
      </c>
      <c r="S73" s="222">
        <v>110.63432</v>
      </c>
      <c r="T73" s="156">
        <v>118.38</v>
      </c>
      <c r="U73" s="200">
        <f t="shared" si="17"/>
        <v>125.4828</v>
      </c>
      <c r="V73" s="200">
        <f t="shared" si="14"/>
        <v>132.25887120000002</v>
      </c>
      <c r="W73" s="200">
        <f t="shared" si="18"/>
        <v>138.21052040399999</v>
      </c>
      <c r="X73" s="292">
        <f t="shared" si="18"/>
        <v>144.42999382217999</v>
      </c>
      <c r="Y73" s="319">
        <f t="shared" si="15"/>
        <v>151.36263352564464</v>
      </c>
    </row>
    <row r="74" spans="1:37" x14ac:dyDescent="0.2">
      <c r="A74" s="19" t="s">
        <v>130</v>
      </c>
      <c r="E74" s="1"/>
      <c r="F74" s="116">
        <v>452.62800000000004</v>
      </c>
      <c r="G74" s="116">
        <v>484.31</v>
      </c>
      <c r="I74" s="88">
        <f t="shared" si="16"/>
        <v>552.11339999999996</v>
      </c>
      <c r="J74" s="88"/>
      <c r="K74" s="18"/>
      <c r="S74" s="222">
        <v>552.38461360000008</v>
      </c>
      <c r="T74" s="156">
        <v>591.04999999999995</v>
      </c>
      <c r="U74" s="200">
        <f t="shared" si="17"/>
        <v>626.51300000000003</v>
      </c>
      <c r="V74" s="200">
        <f t="shared" si="14"/>
        <v>660.3447020000001</v>
      </c>
      <c r="W74" s="200">
        <f t="shared" si="18"/>
        <v>690.0602135900001</v>
      </c>
      <c r="X74" s="292">
        <f t="shared" si="18"/>
        <v>721.11292320155007</v>
      </c>
      <c r="Y74" s="319">
        <f t="shared" si="15"/>
        <v>755.72634351522447</v>
      </c>
      <c r="AD74" s="48"/>
      <c r="AE74" s="1"/>
      <c r="AF74" s="18"/>
    </row>
    <row r="75" spans="1:37" x14ac:dyDescent="0.2">
      <c r="A75" s="20" t="s">
        <v>143</v>
      </c>
      <c r="E75" s="1"/>
      <c r="F75" s="116">
        <v>1069.8588</v>
      </c>
      <c r="G75" s="116">
        <v>1144.75</v>
      </c>
      <c r="I75" s="51">
        <f t="shared" si="16"/>
        <v>1305.0149999999999</v>
      </c>
      <c r="J75" s="51"/>
      <c r="K75" s="18"/>
      <c r="S75" s="222">
        <v>1305.6560600000003</v>
      </c>
      <c r="T75" s="156">
        <v>1397.05</v>
      </c>
      <c r="U75" s="200">
        <f t="shared" si="17"/>
        <v>1480.873</v>
      </c>
      <c r="V75" s="200">
        <f t="shared" si="14"/>
        <v>1560.840142</v>
      </c>
      <c r="W75" s="200">
        <f t="shared" si="18"/>
        <v>1631.0779483899998</v>
      </c>
      <c r="X75" s="292">
        <f t="shared" si="18"/>
        <v>1704.4764560675496</v>
      </c>
      <c r="Y75" s="319">
        <f t="shared" si="15"/>
        <v>1786.2913259587922</v>
      </c>
      <c r="AD75" s="48"/>
      <c r="AF75" s="18"/>
    </row>
    <row r="76" spans="1:37" x14ac:dyDescent="0.2">
      <c r="A76" s="19" t="s">
        <v>122</v>
      </c>
      <c r="E76" s="1"/>
      <c r="F76" s="116">
        <v>0</v>
      </c>
      <c r="G76" s="116">
        <v>1000</v>
      </c>
      <c r="I76" s="50">
        <f>+G76*1.14</f>
        <v>1140</v>
      </c>
      <c r="J76" s="50"/>
      <c r="K76" s="18"/>
      <c r="M76">
        <v>30</v>
      </c>
      <c r="N76" s="103">
        <v>15</v>
      </c>
      <c r="O76">
        <f>+N76*M76</f>
        <v>450</v>
      </c>
      <c r="P76" t="s">
        <v>123</v>
      </c>
      <c r="S76" s="222">
        <v>1140.5600000000002</v>
      </c>
      <c r="T76" s="156">
        <v>1220.4000000000001</v>
      </c>
      <c r="U76" s="200">
        <f t="shared" si="17"/>
        <v>1293.6240000000003</v>
      </c>
      <c r="V76" s="200">
        <f t="shared" si="14"/>
        <v>1363.4796960000003</v>
      </c>
      <c r="W76" s="200">
        <f t="shared" si="18"/>
        <v>1424.8362823200002</v>
      </c>
      <c r="X76" s="292">
        <f t="shared" si="18"/>
        <v>1488.9539150244002</v>
      </c>
      <c r="Y76" s="319">
        <f t="shared" si="15"/>
        <v>1560.4237029455714</v>
      </c>
      <c r="AE76" t="s">
        <v>125</v>
      </c>
      <c r="AG76">
        <v>50</v>
      </c>
      <c r="AK76" s="28">
        <f>+G84*1.06</f>
        <v>265</v>
      </c>
    </row>
    <row r="77" spans="1:37" x14ac:dyDescent="0.2">
      <c r="A77" s="20" t="s">
        <v>169</v>
      </c>
      <c r="E77" s="1"/>
      <c r="F77" s="116">
        <v>0</v>
      </c>
      <c r="G77" s="116">
        <v>0</v>
      </c>
      <c r="I77" s="50">
        <f>+G77*1.14</f>
        <v>0</v>
      </c>
      <c r="J77" s="50"/>
      <c r="K77" s="18"/>
      <c r="N77" s="103"/>
      <c r="S77" s="222">
        <v>409</v>
      </c>
      <c r="T77" s="156">
        <v>437.63</v>
      </c>
      <c r="U77" s="200">
        <f t="shared" si="17"/>
        <v>463.88780000000003</v>
      </c>
      <c r="V77" s="200">
        <f t="shared" si="14"/>
        <v>488.93774120000006</v>
      </c>
      <c r="W77" s="200">
        <f t="shared" si="18"/>
        <v>510.93993955400003</v>
      </c>
      <c r="X77" s="292">
        <f t="shared" si="18"/>
        <v>533.93223683393001</v>
      </c>
      <c r="Y77" s="319">
        <f t="shared" si="15"/>
        <v>559.56098420195872</v>
      </c>
      <c r="AK77" s="28"/>
    </row>
    <row r="78" spans="1:37" x14ac:dyDescent="0.2">
      <c r="A78" s="20" t="s">
        <v>208</v>
      </c>
      <c r="C78" s="25" t="s">
        <v>209</v>
      </c>
      <c r="E78" s="1"/>
      <c r="F78" s="28"/>
      <c r="G78" s="28"/>
      <c r="I78" s="50"/>
      <c r="J78" s="50"/>
      <c r="K78" s="18"/>
      <c r="N78" s="103"/>
      <c r="S78" s="158"/>
      <c r="T78" s="163"/>
      <c r="U78" s="163"/>
      <c r="V78" s="163"/>
      <c r="W78" s="163"/>
      <c r="X78" s="28"/>
      <c r="Y78" s="310"/>
      <c r="AK78" s="28"/>
    </row>
    <row r="79" spans="1:37" x14ac:dyDescent="0.2">
      <c r="A79" s="20" t="s">
        <v>214</v>
      </c>
      <c r="E79" s="1"/>
      <c r="F79" s="28"/>
      <c r="G79" s="28"/>
      <c r="I79" s="50"/>
      <c r="J79" s="50"/>
      <c r="K79" s="18"/>
      <c r="N79" s="103"/>
      <c r="S79" s="158"/>
      <c r="T79" s="163"/>
      <c r="U79" s="163"/>
      <c r="V79" s="163"/>
      <c r="W79" s="163"/>
      <c r="X79" s="28"/>
      <c r="Y79" s="310"/>
      <c r="AK79" s="28"/>
    </row>
    <row r="80" spans="1:37" x14ac:dyDescent="0.2">
      <c r="A80" s="19"/>
      <c r="E80" s="14"/>
      <c r="F80" s="28"/>
      <c r="G80" s="28"/>
      <c r="I80" s="50"/>
      <c r="J80" s="50"/>
      <c r="K80" s="18"/>
      <c r="M80">
        <v>3</v>
      </c>
      <c r="N80" s="103">
        <v>115</v>
      </c>
      <c r="O80" s="103">
        <f>+M80*N80</f>
        <v>345</v>
      </c>
      <c r="P80" t="s">
        <v>124</v>
      </c>
      <c r="S80" s="158"/>
      <c r="T80" s="163"/>
      <c r="U80" s="163"/>
      <c r="V80" s="259"/>
      <c r="W80" s="259"/>
      <c r="X80" s="298"/>
      <c r="Y80" s="341"/>
    </row>
    <row r="81" spans="1:25" x14ac:dyDescent="0.2">
      <c r="A81" s="17" t="s">
        <v>146</v>
      </c>
      <c r="E81" s="14"/>
      <c r="F81" s="28"/>
      <c r="G81" s="28"/>
      <c r="I81" s="50"/>
      <c r="J81" s="50"/>
      <c r="K81" s="18"/>
      <c r="N81" s="103"/>
      <c r="O81" s="103"/>
      <c r="S81" s="158"/>
      <c r="T81" s="163"/>
      <c r="U81" s="163"/>
      <c r="V81" s="163"/>
      <c r="W81" s="336">
        <v>4.4999999999999998E-2</v>
      </c>
      <c r="X81" s="331">
        <v>4.4999999999999998E-2</v>
      </c>
      <c r="Y81" s="332">
        <v>4.8000000000000001E-2</v>
      </c>
    </row>
    <row r="82" spans="1:25" ht="18" customHeight="1" x14ac:dyDescent="0.2">
      <c r="A82" s="19" t="s">
        <v>5</v>
      </c>
      <c r="E82" s="1"/>
      <c r="F82" s="116">
        <v>85.59</v>
      </c>
      <c r="G82" s="116">
        <v>90</v>
      </c>
      <c r="I82" s="88">
        <f t="shared" ref="I82:I83" si="19">+G82*1.14</f>
        <v>102.6</v>
      </c>
      <c r="J82" s="88"/>
      <c r="K82" s="102">
        <f>+G82*1.06</f>
        <v>95.4</v>
      </c>
      <c r="N82" s="103"/>
      <c r="O82" s="103"/>
      <c r="S82" s="222">
        <v>102.65040000000002</v>
      </c>
      <c r="T82" s="156">
        <v>109.84</v>
      </c>
      <c r="U82" s="156">
        <f>+T82*1.06</f>
        <v>116.43040000000001</v>
      </c>
      <c r="V82" s="156">
        <f>+U82*1.054</f>
        <v>122.71764160000001</v>
      </c>
      <c r="W82" s="156">
        <f t="shared" ref="W82:X84" si="20">+V82*1.045</f>
        <v>128.23993547199998</v>
      </c>
      <c r="X82" s="159">
        <f t="shared" si="20"/>
        <v>134.01073256823997</v>
      </c>
      <c r="Y82" s="319">
        <f t="shared" ref="Y82:Y84" si="21">+X82*1.048</f>
        <v>140.4432477315155</v>
      </c>
    </row>
    <row r="83" spans="1:25" x14ac:dyDescent="0.2">
      <c r="A83" s="19" t="s">
        <v>6</v>
      </c>
      <c r="E83" s="1"/>
      <c r="F83" s="116">
        <v>148.1328</v>
      </c>
      <c r="G83" s="116">
        <v>160</v>
      </c>
      <c r="I83" s="88">
        <f t="shared" si="19"/>
        <v>182.39999999999998</v>
      </c>
      <c r="J83" s="88"/>
      <c r="K83" s="102"/>
      <c r="N83" s="103"/>
      <c r="O83" s="103"/>
      <c r="S83" s="222">
        <v>182.48960000000002</v>
      </c>
      <c r="T83" s="156">
        <v>195.26</v>
      </c>
      <c r="U83" s="156">
        <f t="shared" ref="U83:U84" si="22">+T83*1.06</f>
        <v>206.97560000000001</v>
      </c>
      <c r="V83" s="156">
        <f>+U83*1.054</f>
        <v>218.15228240000002</v>
      </c>
      <c r="W83" s="156">
        <f t="shared" si="20"/>
        <v>227.96913510800002</v>
      </c>
      <c r="X83" s="159">
        <f t="shared" si="20"/>
        <v>238.22774618785999</v>
      </c>
      <c r="Y83" s="319">
        <f t="shared" si="21"/>
        <v>249.66267800487728</v>
      </c>
    </row>
    <row r="84" spans="1:25" x14ac:dyDescent="0.2">
      <c r="A84" s="20" t="s">
        <v>73</v>
      </c>
      <c r="E84" s="1"/>
      <c r="F84" s="116">
        <v>97.2</v>
      </c>
      <c r="G84" s="116">
        <v>250</v>
      </c>
      <c r="I84" s="50"/>
      <c r="J84" s="50"/>
      <c r="K84" s="18"/>
      <c r="N84" s="103"/>
      <c r="O84" s="103"/>
      <c r="S84" s="222">
        <v>285.14000000000004</v>
      </c>
      <c r="T84" s="156">
        <v>305.10000000000002</v>
      </c>
      <c r="U84" s="156">
        <f t="shared" si="22"/>
        <v>323.40600000000006</v>
      </c>
      <c r="V84" s="156">
        <f>+U84*1.054</f>
        <v>340.86992400000008</v>
      </c>
      <c r="W84" s="156">
        <f t="shared" si="20"/>
        <v>356.20907058000006</v>
      </c>
      <c r="X84" s="159">
        <f t="shared" si="20"/>
        <v>372.23847875610005</v>
      </c>
      <c r="Y84" s="319">
        <f t="shared" si="21"/>
        <v>390.10592573639286</v>
      </c>
    </row>
    <row r="85" spans="1:25" x14ac:dyDescent="0.2">
      <c r="A85" s="20" t="s">
        <v>208</v>
      </c>
      <c r="C85" s="25" t="s">
        <v>209</v>
      </c>
      <c r="E85" s="1"/>
      <c r="F85" s="28"/>
      <c r="G85" s="28"/>
      <c r="I85" s="50"/>
      <c r="J85" s="50"/>
      <c r="K85" s="18"/>
      <c r="N85" s="103"/>
      <c r="O85" s="103"/>
      <c r="S85" s="158"/>
      <c r="T85" s="163"/>
      <c r="U85" s="163"/>
      <c r="V85" s="163"/>
      <c r="W85" s="163"/>
      <c r="X85" s="28"/>
      <c r="Y85" s="310"/>
    </row>
    <row r="86" spans="1:25" x14ac:dyDescent="0.2">
      <c r="A86" s="20" t="s">
        <v>214</v>
      </c>
      <c r="E86" s="1"/>
      <c r="F86" s="28"/>
      <c r="G86" s="28"/>
      <c r="I86" s="50"/>
      <c r="J86" s="50"/>
      <c r="K86" s="18"/>
      <c r="N86" s="103"/>
      <c r="O86" s="103"/>
      <c r="S86" s="158"/>
      <c r="T86" s="163"/>
      <c r="U86" s="163"/>
      <c r="V86" s="163"/>
      <c r="W86" s="163"/>
      <c r="X86" s="28"/>
      <c r="Y86" s="310"/>
    </row>
    <row r="87" spans="1:25" x14ac:dyDescent="0.2">
      <c r="A87" s="19"/>
      <c r="E87" s="14"/>
      <c r="F87" s="28"/>
      <c r="G87" s="28"/>
      <c r="I87" s="50"/>
      <c r="J87" s="50"/>
      <c r="K87" s="18"/>
      <c r="N87" s="103"/>
      <c r="O87" s="103"/>
      <c r="S87" s="158"/>
      <c r="T87" s="163"/>
      <c r="U87" s="163"/>
      <c r="V87" s="259"/>
      <c r="W87" s="259"/>
      <c r="X87" s="298"/>
      <c r="Y87" s="341"/>
    </row>
    <row r="88" spans="1:25" ht="16.5" customHeight="1" x14ac:dyDescent="0.2">
      <c r="A88" s="17" t="s">
        <v>147</v>
      </c>
      <c r="B88" s="7"/>
      <c r="C88" s="7"/>
      <c r="D88" s="7"/>
      <c r="E88" s="8"/>
      <c r="F88" s="67"/>
      <c r="G88" s="68"/>
      <c r="I88" s="55"/>
      <c r="J88" s="55"/>
      <c r="K88" s="84"/>
      <c r="M88">
        <v>10</v>
      </c>
      <c r="S88" s="241"/>
      <c r="T88" s="201"/>
      <c r="U88" s="201"/>
      <c r="V88" s="201"/>
      <c r="W88" s="335">
        <v>0.11</v>
      </c>
      <c r="X88" s="291">
        <v>4.4999999999999998E-2</v>
      </c>
      <c r="Y88" s="332">
        <v>4.8000000000000001E-2</v>
      </c>
    </row>
    <row r="89" spans="1:25" ht="16.5" customHeight="1" x14ac:dyDescent="0.2">
      <c r="A89" s="19" t="s">
        <v>2</v>
      </c>
      <c r="E89" s="12"/>
      <c r="F89" s="116">
        <v>55.004399999999997</v>
      </c>
      <c r="G89" s="116">
        <v>60.5</v>
      </c>
      <c r="H89" s="40"/>
      <c r="I89" s="51">
        <f t="shared" ref="I89:I93" si="23">+G89*1.14</f>
        <v>68.97</v>
      </c>
      <c r="J89" s="51"/>
      <c r="K89" s="84">
        <f>+G89*1.06</f>
        <v>64.13000000000001</v>
      </c>
      <c r="S89" s="222">
        <v>69.01464</v>
      </c>
      <c r="T89" s="156">
        <v>73.849999999999994</v>
      </c>
      <c r="U89" s="156">
        <f t="shared" ref="U89:V92" si="24">+T89*1.095</f>
        <v>80.865749999999991</v>
      </c>
      <c r="V89" s="156">
        <f t="shared" si="24"/>
        <v>88.547996249999983</v>
      </c>
      <c r="W89" s="156">
        <f>+V89*1.11</f>
        <v>98.288275837499995</v>
      </c>
      <c r="X89" s="159">
        <f>+W89*1.045</f>
        <v>102.7112482501875</v>
      </c>
      <c r="Y89" s="319">
        <f t="shared" ref="Y89:Y93" si="25">+X89*1.048</f>
        <v>107.64138816619649</v>
      </c>
    </row>
    <row r="90" spans="1:25" x14ac:dyDescent="0.2">
      <c r="A90" s="19" t="s">
        <v>9</v>
      </c>
      <c r="E90" s="12"/>
      <c r="F90" s="116">
        <v>3.6180000000000003</v>
      </c>
      <c r="G90" s="116">
        <v>3.98</v>
      </c>
      <c r="H90" s="40"/>
      <c r="I90" s="51">
        <f t="shared" si="23"/>
        <v>4.5371999999999995</v>
      </c>
      <c r="J90" s="51"/>
      <c r="K90" s="84">
        <f>+G90*1.06</f>
        <v>4.2187999999999999</v>
      </c>
      <c r="S90" s="222">
        <v>4.4116</v>
      </c>
      <c r="T90" s="156">
        <v>4.72</v>
      </c>
      <c r="U90" s="156">
        <f t="shared" si="24"/>
        <v>5.1683999999999992</v>
      </c>
      <c r="V90" s="156">
        <f t="shared" si="24"/>
        <v>5.6593979999999986</v>
      </c>
      <c r="W90" s="156">
        <f t="shared" ref="W90:W93" si="26">+V90*1.11</f>
        <v>6.281931779999999</v>
      </c>
      <c r="X90" s="159">
        <f t="shared" ref="X90:X93" si="27">+W90*1.045</f>
        <v>6.5646187100999986</v>
      </c>
      <c r="Y90" s="319">
        <f t="shared" si="25"/>
        <v>6.8797204081847987</v>
      </c>
    </row>
    <row r="91" spans="1:25" x14ac:dyDescent="0.2">
      <c r="A91" s="19" t="s">
        <v>10</v>
      </c>
      <c r="E91" s="12"/>
      <c r="F91" s="116">
        <v>4.7088000000000001</v>
      </c>
      <c r="G91" s="116">
        <v>5.18</v>
      </c>
      <c r="H91" s="40"/>
      <c r="I91" s="51">
        <f t="shared" si="23"/>
        <v>5.9051999999999989</v>
      </c>
      <c r="J91" s="51"/>
      <c r="K91" s="84">
        <f t="shared" ref="K91:K93" si="28">+G91*1.06</f>
        <v>5.4908000000000001</v>
      </c>
      <c r="S91" s="222">
        <v>5.7458400000000003</v>
      </c>
      <c r="T91" s="156">
        <v>6.15</v>
      </c>
      <c r="U91" s="156">
        <f t="shared" si="24"/>
        <v>6.7342500000000003</v>
      </c>
      <c r="V91" s="156">
        <f t="shared" si="24"/>
        <v>7.37400375</v>
      </c>
      <c r="W91" s="156">
        <f t="shared" si="26"/>
        <v>8.1851441625000003</v>
      </c>
      <c r="X91" s="159">
        <f t="shared" si="27"/>
        <v>8.5534756498124995</v>
      </c>
      <c r="Y91" s="319">
        <f t="shared" si="25"/>
        <v>8.9640424810034993</v>
      </c>
    </row>
    <row r="92" spans="1:25" x14ac:dyDescent="0.2">
      <c r="A92" s="19" t="s">
        <v>193</v>
      </c>
      <c r="E92" s="12"/>
      <c r="F92" s="116">
        <v>5.1840000000000002</v>
      </c>
      <c r="G92" s="116">
        <v>5.7</v>
      </c>
      <c r="H92" s="40"/>
      <c r="I92" s="51">
        <f t="shared" si="23"/>
        <v>6.4979999999999993</v>
      </c>
      <c r="J92" s="51"/>
      <c r="K92" s="84">
        <f t="shared" si="28"/>
        <v>6.0420000000000007</v>
      </c>
      <c r="S92" s="222">
        <v>6.3161200000000006</v>
      </c>
      <c r="T92" s="156">
        <v>6.76</v>
      </c>
      <c r="U92" s="156">
        <f t="shared" si="24"/>
        <v>7.4021999999999997</v>
      </c>
      <c r="V92" s="156">
        <f t="shared" si="24"/>
        <v>8.1054089999999999</v>
      </c>
      <c r="W92" s="156">
        <f t="shared" si="26"/>
        <v>8.9970039900000014</v>
      </c>
      <c r="X92" s="159">
        <f t="shared" si="27"/>
        <v>9.4018691695500003</v>
      </c>
      <c r="Y92" s="319">
        <f t="shared" si="25"/>
        <v>9.8531588896883999</v>
      </c>
    </row>
    <row r="93" spans="1:25" x14ac:dyDescent="0.2">
      <c r="A93" s="19" t="s">
        <v>11</v>
      </c>
      <c r="E93" s="12"/>
      <c r="F93" s="116">
        <v>5.9724000000000004</v>
      </c>
      <c r="G93" s="116">
        <v>6.57</v>
      </c>
      <c r="H93" s="40"/>
      <c r="I93" s="51">
        <f t="shared" si="23"/>
        <v>7.4897999999999998</v>
      </c>
      <c r="J93" s="51"/>
      <c r="K93" s="84">
        <f t="shared" si="28"/>
        <v>6.9642000000000008</v>
      </c>
      <c r="S93" s="222">
        <v>7.4889600000000005</v>
      </c>
      <c r="T93" s="156">
        <v>8.01</v>
      </c>
      <c r="U93" s="156">
        <f>+T93*1.115</f>
        <v>8.9311499999999988</v>
      </c>
      <c r="V93" s="156">
        <f>+U93*1.115</f>
        <v>9.9582322499999982</v>
      </c>
      <c r="W93" s="156">
        <f t="shared" si="26"/>
        <v>11.053637797499999</v>
      </c>
      <c r="X93" s="159">
        <f t="shared" si="27"/>
        <v>11.551051498387498</v>
      </c>
      <c r="Y93" s="319">
        <f t="shared" si="25"/>
        <v>12.105501970310097</v>
      </c>
    </row>
    <row r="94" spans="1:25" x14ac:dyDescent="0.2">
      <c r="A94" s="19" t="s">
        <v>12</v>
      </c>
      <c r="E94" s="1"/>
      <c r="F94" s="116">
        <v>178.03799999999998</v>
      </c>
      <c r="G94" s="116">
        <v>200</v>
      </c>
      <c r="I94" s="51"/>
      <c r="J94" s="51"/>
      <c r="K94" s="84"/>
      <c r="S94" s="222"/>
      <c r="T94" s="156"/>
      <c r="U94" s="156"/>
      <c r="V94" s="156"/>
      <c r="W94" s="156"/>
      <c r="X94" s="159"/>
      <c r="Y94" s="310"/>
    </row>
    <row r="95" spans="1:25" x14ac:dyDescent="0.2">
      <c r="A95" s="19" t="s">
        <v>13</v>
      </c>
      <c r="E95" s="1"/>
      <c r="F95" s="124" t="s">
        <v>4</v>
      </c>
      <c r="G95" s="124" t="s">
        <v>4</v>
      </c>
      <c r="I95" s="50"/>
      <c r="J95" s="50"/>
      <c r="K95" s="18"/>
      <c r="S95" s="236" t="s">
        <v>4</v>
      </c>
      <c r="T95" s="197" t="s">
        <v>4</v>
      </c>
      <c r="U95" s="197" t="s">
        <v>4</v>
      </c>
      <c r="V95" s="197" t="s">
        <v>4</v>
      </c>
      <c r="W95" s="197" t="s">
        <v>4</v>
      </c>
      <c r="X95" s="293" t="s">
        <v>4</v>
      </c>
      <c r="Y95" s="315" t="s">
        <v>4</v>
      </c>
    </row>
    <row r="96" spans="1:25" x14ac:dyDescent="0.2">
      <c r="A96" s="20" t="s">
        <v>160</v>
      </c>
      <c r="E96" s="1"/>
      <c r="F96" s="124"/>
      <c r="G96" s="116">
        <v>350</v>
      </c>
      <c r="I96" s="50"/>
      <c r="J96" s="50"/>
      <c r="K96" s="18"/>
      <c r="S96" s="222">
        <v>175</v>
      </c>
      <c r="T96" s="156">
        <v>185</v>
      </c>
      <c r="U96" s="156">
        <v>195</v>
      </c>
      <c r="V96" s="156">
        <v>210</v>
      </c>
      <c r="W96" s="156">
        <v>210</v>
      </c>
      <c r="X96" s="159">
        <v>210</v>
      </c>
      <c r="Y96" s="314">
        <v>210</v>
      </c>
    </row>
    <row r="97" spans="1:25" x14ac:dyDescent="0.2">
      <c r="A97" s="20" t="s">
        <v>208</v>
      </c>
      <c r="C97" s="25" t="s">
        <v>210</v>
      </c>
      <c r="E97" s="1"/>
      <c r="F97" s="41"/>
      <c r="G97" s="28"/>
      <c r="I97" s="50"/>
      <c r="J97" s="50"/>
      <c r="K97" s="18"/>
      <c r="S97" s="158"/>
      <c r="T97" s="163"/>
      <c r="U97" s="163"/>
      <c r="V97" s="163"/>
      <c r="W97" s="163"/>
      <c r="X97" s="28"/>
      <c r="Y97" s="310"/>
    </row>
    <row r="98" spans="1:25" x14ac:dyDescent="0.2">
      <c r="A98" s="20" t="s">
        <v>214</v>
      </c>
      <c r="E98" s="1"/>
      <c r="F98" s="41"/>
      <c r="G98" s="28"/>
      <c r="I98" s="50"/>
      <c r="J98" s="50"/>
      <c r="K98" s="18"/>
      <c r="S98" s="158"/>
      <c r="T98" s="163"/>
      <c r="U98" s="163"/>
      <c r="V98" s="163"/>
      <c r="W98" s="163"/>
      <c r="X98" s="28"/>
      <c r="Y98" s="310"/>
    </row>
    <row r="99" spans="1:25" x14ac:dyDescent="0.2">
      <c r="A99" s="19"/>
      <c r="E99" s="1"/>
      <c r="F99" s="38"/>
      <c r="G99" s="28"/>
      <c r="I99" s="50"/>
      <c r="J99" s="50"/>
      <c r="K99" s="18"/>
      <c r="S99" s="158"/>
      <c r="T99" s="163"/>
      <c r="U99" s="163"/>
      <c r="V99" s="259"/>
      <c r="W99" s="259"/>
      <c r="X99" s="298"/>
      <c r="Y99" s="341"/>
    </row>
    <row r="100" spans="1:25" x14ac:dyDescent="0.2">
      <c r="A100" s="17" t="s">
        <v>163</v>
      </c>
      <c r="F100" s="28"/>
      <c r="G100" s="28"/>
      <c r="I100" s="50"/>
      <c r="J100" s="50"/>
      <c r="K100" s="18"/>
      <c r="S100" s="158"/>
      <c r="T100" s="163"/>
      <c r="U100" s="163"/>
      <c r="V100" s="336">
        <v>0</v>
      </c>
      <c r="W100" s="336">
        <v>0</v>
      </c>
      <c r="X100" s="331">
        <v>0</v>
      </c>
      <c r="Y100" s="332">
        <v>0</v>
      </c>
    </row>
    <row r="101" spans="1:25" ht="15" customHeight="1" x14ac:dyDescent="0.2">
      <c r="A101" s="20" t="s">
        <v>135</v>
      </c>
      <c r="B101" s="10"/>
      <c r="E101" s="12"/>
      <c r="F101" s="117"/>
      <c r="G101" s="116"/>
      <c r="H101" s="10"/>
      <c r="I101" s="50"/>
      <c r="J101" s="50"/>
      <c r="K101" s="18"/>
      <c r="S101" s="222">
        <v>2500</v>
      </c>
      <c r="T101" s="156">
        <v>2500</v>
      </c>
      <c r="U101" s="156">
        <v>2800</v>
      </c>
      <c r="V101" s="156">
        <v>2800</v>
      </c>
      <c r="W101" s="156">
        <v>2800</v>
      </c>
      <c r="X101" s="294">
        <v>2800</v>
      </c>
      <c r="Y101" s="314">
        <v>2800</v>
      </c>
    </row>
    <row r="102" spans="1:25" x14ac:dyDescent="0.2">
      <c r="A102" s="20" t="s">
        <v>136</v>
      </c>
      <c r="B102" s="10"/>
      <c r="E102" s="12"/>
      <c r="F102" s="117"/>
      <c r="G102" s="116"/>
      <c r="H102" s="10"/>
      <c r="I102" s="50"/>
      <c r="J102" s="50"/>
      <c r="K102" s="18"/>
      <c r="S102" s="222">
        <v>6000</v>
      </c>
      <c r="T102" s="156">
        <v>6000</v>
      </c>
      <c r="U102" s="156">
        <v>6300</v>
      </c>
      <c r="V102" s="156">
        <v>6300</v>
      </c>
      <c r="W102" s="156">
        <v>6300</v>
      </c>
      <c r="X102" s="294">
        <v>6300</v>
      </c>
      <c r="Y102" s="314">
        <v>6300</v>
      </c>
    </row>
    <row r="103" spans="1:25" x14ac:dyDescent="0.2">
      <c r="A103" s="20" t="s">
        <v>391</v>
      </c>
      <c r="B103" s="10"/>
      <c r="E103" s="12"/>
      <c r="F103" s="37"/>
      <c r="G103" s="116"/>
      <c r="H103" s="10"/>
      <c r="I103" s="50"/>
      <c r="J103" s="50"/>
      <c r="K103" s="18"/>
      <c r="S103" s="222">
        <v>20.145302400000006</v>
      </c>
      <c r="T103" s="156">
        <f>+T93*2.5</f>
        <v>20.024999999999999</v>
      </c>
      <c r="U103" s="156">
        <v>22.32</v>
      </c>
      <c r="V103" s="156">
        <f>+U103*1.095</f>
        <v>24.4404</v>
      </c>
      <c r="W103" s="156">
        <f>+V103*1.11</f>
        <v>27.128844000000004</v>
      </c>
      <c r="X103" s="294">
        <f>+W103*1.045</f>
        <v>28.349641980000001</v>
      </c>
      <c r="Y103" s="319">
        <f t="shared" ref="Y103" si="29">+X103*1.048</f>
        <v>29.710424795040002</v>
      </c>
    </row>
    <row r="104" spans="1:25" x14ac:dyDescent="0.2">
      <c r="A104" s="20"/>
      <c r="B104" s="10"/>
      <c r="E104" s="12"/>
      <c r="F104" s="37"/>
      <c r="G104" s="28"/>
      <c r="H104" s="10"/>
      <c r="I104" s="50"/>
      <c r="J104" s="50"/>
      <c r="K104" s="18"/>
      <c r="S104" s="158"/>
      <c r="T104" s="163"/>
      <c r="U104" s="163"/>
      <c r="V104" s="163"/>
      <c r="W104" s="163"/>
      <c r="X104" s="28"/>
      <c r="Y104" s="310"/>
    </row>
    <row r="105" spans="1:25" x14ac:dyDescent="0.2">
      <c r="A105" s="17" t="s">
        <v>180</v>
      </c>
      <c r="B105" s="10"/>
      <c r="E105" s="12"/>
      <c r="F105" s="37"/>
      <c r="G105" s="28"/>
      <c r="H105" s="10"/>
      <c r="I105" s="50"/>
      <c r="J105" s="50"/>
      <c r="K105" s="18"/>
      <c r="S105" s="158"/>
      <c r="T105" s="163"/>
      <c r="U105" s="163"/>
      <c r="V105" s="163"/>
      <c r="W105" s="163"/>
      <c r="X105" s="28"/>
      <c r="Y105" s="310"/>
    </row>
    <row r="106" spans="1:25" x14ac:dyDescent="0.2">
      <c r="A106" s="20" t="s">
        <v>181</v>
      </c>
      <c r="E106" s="12"/>
      <c r="F106" s="117"/>
      <c r="G106" s="116"/>
      <c r="H106" s="10"/>
      <c r="I106" s="50"/>
      <c r="J106" s="50"/>
      <c r="K106" s="18"/>
      <c r="S106" s="222">
        <v>1000</v>
      </c>
      <c r="T106" s="156">
        <v>1000</v>
      </c>
      <c r="U106" s="156">
        <v>1000</v>
      </c>
      <c r="V106" s="156">
        <v>1000</v>
      </c>
      <c r="W106" s="156">
        <v>1000</v>
      </c>
      <c r="X106" s="294">
        <v>1000</v>
      </c>
      <c r="Y106" s="314">
        <v>1000</v>
      </c>
    </row>
    <row r="107" spans="1:25" x14ac:dyDescent="0.2">
      <c r="A107" s="20" t="s">
        <v>182</v>
      </c>
      <c r="E107" s="12"/>
      <c r="F107" s="117"/>
      <c r="G107" s="116"/>
      <c r="H107" s="10"/>
      <c r="I107" s="50"/>
      <c r="J107" s="50"/>
      <c r="K107" s="18"/>
      <c r="S107" s="222">
        <v>230</v>
      </c>
      <c r="T107" s="156">
        <v>245</v>
      </c>
      <c r="U107" s="156">
        <v>260</v>
      </c>
      <c r="V107" s="156">
        <v>260</v>
      </c>
      <c r="W107" s="156">
        <v>260</v>
      </c>
      <c r="X107" s="159">
        <v>260</v>
      </c>
      <c r="Y107" s="314">
        <v>260</v>
      </c>
    </row>
    <row r="108" spans="1:25" x14ac:dyDescent="0.2">
      <c r="A108" s="20"/>
      <c r="B108" s="10"/>
      <c r="E108" s="12"/>
      <c r="F108" s="37"/>
      <c r="G108" s="28"/>
      <c r="H108" s="10"/>
      <c r="I108" s="50"/>
      <c r="J108" s="50"/>
      <c r="K108" s="18"/>
      <c r="S108" s="158"/>
      <c r="T108" s="163"/>
      <c r="U108" s="163"/>
      <c r="V108" s="163"/>
      <c r="W108" s="163"/>
      <c r="X108" s="28"/>
      <c r="Y108" s="310"/>
    </row>
    <row r="109" spans="1:25" x14ac:dyDescent="0.2">
      <c r="A109" s="17" t="s">
        <v>165</v>
      </c>
      <c r="F109" s="28"/>
      <c r="G109" s="28"/>
      <c r="I109" s="50">
        <f>+G109*1.14</f>
        <v>0</v>
      </c>
      <c r="J109" s="50"/>
      <c r="K109" s="18"/>
      <c r="S109" s="158"/>
      <c r="T109" s="163"/>
      <c r="U109" s="163"/>
      <c r="V109" s="163"/>
      <c r="W109" s="163"/>
      <c r="X109" s="28"/>
      <c r="Y109" s="310"/>
    </row>
    <row r="110" spans="1:25" ht="18" customHeight="1" x14ac:dyDescent="0.2">
      <c r="A110" s="19" t="s">
        <v>126</v>
      </c>
      <c r="B110" t="s">
        <v>127</v>
      </c>
      <c r="F110" s="116"/>
      <c r="G110" s="116">
        <v>250</v>
      </c>
      <c r="I110" s="50">
        <f>+G110*1.14</f>
        <v>285</v>
      </c>
      <c r="J110" s="50"/>
      <c r="K110" s="18"/>
      <c r="S110" s="222">
        <v>285</v>
      </c>
      <c r="T110" s="156">
        <v>305</v>
      </c>
      <c r="U110" s="156">
        <v>320</v>
      </c>
      <c r="V110" s="156">
        <v>340</v>
      </c>
      <c r="W110" s="156">
        <v>340</v>
      </c>
      <c r="X110" s="159">
        <v>340</v>
      </c>
      <c r="Y110" s="314">
        <v>340</v>
      </c>
    </row>
    <row r="111" spans="1:25" x14ac:dyDescent="0.2">
      <c r="A111" s="19"/>
      <c r="F111" s="28"/>
      <c r="G111" s="28"/>
      <c r="I111" s="50"/>
      <c r="J111" s="50"/>
      <c r="K111" s="18"/>
      <c r="S111" s="158"/>
      <c r="T111" s="163"/>
      <c r="U111" s="163"/>
      <c r="V111" s="156"/>
      <c r="W111" s="156"/>
      <c r="X111" s="294"/>
      <c r="Y111" s="313"/>
    </row>
    <row r="112" spans="1:25" ht="14.25" customHeight="1" x14ac:dyDescent="0.2">
      <c r="A112" s="17" t="s">
        <v>148</v>
      </c>
      <c r="B112" s="7"/>
      <c r="C112" s="7"/>
      <c r="D112" s="7"/>
      <c r="E112" s="8"/>
      <c r="F112" s="46"/>
      <c r="G112" s="47"/>
      <c r="I112" s="55"/>
      <c r="J112" s="55"/>
      <c r="K112" s="18"/>
      <c r="M112">
        <v>6</v>
      </c>
      <c r="S112" s="242"/>
      <c r="T112" s="161"/>
      <c r="U112" s="161"/>
      <c r="V112" s="161"/>
      <c r="W112" s="362">
        <v>0</v>
      </c>
      <c r="X112" s="291">
        <v>4.4999999999999998E-2</v>
      </c>
      <c r="Y112" s="332">
        <v>4.8000000000000001E-2</v>
      </c>
    </row>
    <row r="113" spans="1:25" ht="17.25" customHeight="1" x14ac:dyDescent="0.2">
      <c r="A113" s="19" t="s">
        <v>55</v>
      </c>
      <c r="F113" s="118">
        <v>9.8279999999999999E-3</v>
      </c>
      <c r="G113" s="118">
        <v>1.042E-2</v>
      </c>
      <c r="I113" s="50"/>
      <c r="J113" s="50"/>
      <c r="K113" s="18">
        <f>+G113*1.06</f>
        <v>1.1045200000000002E-2</v>
      </c>
      <c r="M113" s="1"/>
      <c r="S113" s="243">
        <v>1.1889800000000002E-2</v>
      </c>
      <c r="T113" s="202">
        <v>1.2722000000000001E-2</v>
      </c>
      <c r="U113" s="202">
        <v>1.0808999999999999E-2</v>
      </c>
      <c r="V113" s="202">
        <f t="shared" ref="V113:W115" si="30">0.010809*1.054</f>
        <v>1.1392685999999999E-2</v>
      </c>
      <c r="W113" s="202">
        <f t="shared" si="30"/>
        <v>1.1392685999999999E-2</v>
      </c>
      <c r="X113" s="295">
        <f>+W113*1.045</f>
        <v>1.1905356869999998E-2</v>
      </c>
      <c r="Y113" s="320">
        <f t="shared" ref="Y113:Y117" si="31">+X113*1.048</f>
        <v>1.2476813999759999E-2</v>
      </c>
    </row>
    <row r="114" spans="1:25" x14ac:dyDescent="0.2">
      <c r="A114" s="19" t="s">
        <v>14</v>
      </c>
      <c r="F114" s="118">
        <v>9.8279999999999999E-3</v>
      </c>
      <c r="G114" s="118">
        <f>+G113</f>
        <v>1.042E-2</v>
      </c>
      <c r="I114" s="50"/>
      <c r="J114" s="50"/>
      <c r="K114" s="18">
        <f t="shared" ref="K114:K117" si="32">+G114*1.06</f>
        <v>1.1045200000000002E-2</v>
      </c>
      <c r="S114" s="243">
        <v>1.1889800000000002E-2</v>
      </c>
      <c r="T114" s="202">
        <v>1.2722000000000001E-2</v>
      </c>
      <c r="U114" s="202">
        <v>1.0808999999999999E-2</v>
      </c>
      <c r="V114" s="202">
        <f t="shared" si="30"/>
        <v>1.1392685999999999E-2</v>
      </c>
      <c r="W114" s="202">
        <f t="shared" si="30"/>
        <v>1.1392685999999999E-2</v>
      </c>
      <c r="X114" s="295">
        <f t="shared" ref="X114:X117" si="33">+W114*1.045</f>
        <v>1.1905356869999998E-2</v>
      </c>
      <c r="Y114" s="320">
        <f t="shared" si="31"/>
        <v>1.2476813999759999E-2</v>
      </c>
    </row>
    <row r="115" spans="1:25" x14ac:dyDescent="0.2">
      <c r="A115" s="19" t="s">
        <v>56</v>
      </c>
      <c r="F115" s="118">
        <v>9.8279999999999999E-3</v>
      </c>
      <c r="G115" s="118">
        <f>+G114</f>
        <v>1.042E-2</v>
      </c>
      <c r="I115" s="50"/>
      <c r="J115" s="50"/>
      <c r="K115" s="18">
        <f t="shared" si="32"/>
        <v>1.1045200000000002E-2</v>
      </c>
      <c r="S115" s="243">
        <v>1.1889800000000002E-2</v>
      </c>
      <c r="T115" s="202">
        <v>1.2722000000000001E-2</v>
      </c>
      <c r="U115" s="202">
        <v>1.0808999999999999E-2</v>
      </c>
      <c r="V115" s="202">
        <f t="shared" si="30"/>
        <v>1.1392685999999999E-2</v>
      </c>
      <c r="W115" s="202">
        <f t="shared" si="30"/>
        <v>1.1392685999999999E-2</v>
      </c>
      <c r="X115" s="295">
        <f t="shared" si="33"/>
        <v>1.1905356869999998E-2</v>
      </c>
      <c r="Y115" s="320">
        <f t="shared" si="31"/>
        <v>1.2476813999759999E-2</v>
      </c>
    </row>
    <row r="116" spans="1:25" x14ac:dyDescent="0.2">
      <c r="A116" s="19" t="s">
        <v>57</v>
      </c>
      <c r="F116" s="118">
        <v>5.9999999999999995E-4</v>
      </c>
      <c r="G116" s="118">
        <f>0.000674-0.000041</f>
        <v>6.3299999999999999E-4</v>
      </c>
      <c r="I116" s="85">
        <f>+G113/4</f>
        <v>2.6050000000000001E-3</v>
      </c>
      <c r="J116" s="50"/>
      <c r="K116" s="18">
        <f t="shared" si="32"/>
        <v>6.7098000000000006E-4</v>
      </c>
      <c r="S116" s="243">
        <v>7.2522400000000001E-4</v>
      </c>
      <c r="T116" s="202">
        <v>7.76E-4</v>
      </c>
      <c r="U116" s="202">
        <v>5.0500000000000002E-4</v>
      </c>
      <c r="V116" s="202">
        <f>0.000505*1.054</f>
        <v>5.3227000000000005E-4</v>
      </c>
      <c r="W116" s="202">
        <f>0.000505*1.054</f>
        <v>5.3227000000000005E-4</v>
      </c>
      <c r="X116" s="295">
        <f t="shared" si="33"/>
        <v>5.5622215000000004E-4</v>
      </c>
      <c r="Y116" s="320">
        <f t="shared" si="31"/>
        <v>5.8292081320000008E-4</v>
      </c>
    </row>
    <row r="117" spans="1:25" x14ac:dyDescent="0.2">
      <c r="A117" s="19" t="s">
        <v>15</v>
      </c>
      <c r="F117" s="118">
        <v>9.8279999999999999E-3</v>
      </c>
      <c r="G117" s="118">
        <f>+G113</f>
        <v>1.042E-2</v>
      </c>
      <c r="I117" s="50"/>
      <c r="J117" s="50"/>
      <c r="K117" s="18">
        <f t="shared" si="32"/>
        <v>1.1045200000000002E-2</v>
      </c>
      <c r="S117" s="243">
        <v>1.1889800000000002E-2</v>
      </c>
      <c r="T117" s="202">
        <v>1.2722000000000001E-2</v>
      </c>
      <c r="U117" s="202">
        <v>1.0808999999999999E-2</v>
      </c>
      <c r="V117" s="202">
        <f>0.010809*1.054</f>
        <v>1.1392685999999999E-2</v>
      </c>
      <c r="W117" s="202">
        <f>0.010809*1.054</f>
        <v>1.1392685999999999E-2</v>
      </c>
      <c r="X117" s="295">
        <f t="shared" si="33"/>
        <v>1.1905356869999998E-2</v>
      </c>
      <c r="Y117" s="320">
        <f t="shared" si="31"/>
        <v>1.2476813999759999E-2</v>
      </c>
    </row>
    <row r="118" spans="1:25" x14ac:dyDescent="0.2">
      <c r="A118" s="19" t="s">
        <v>58</v>
      </c>
      <c r="F118" s="119"/>
      <c r="G118" s="120"/>
      <c r="I118" s="50"/>
      <c r="J118" s="50"/>
      <c r="K118" s="18"/>
      <c r="S118" s="244"/>
      <c r="T118" s="203"/>
      <c r="U118" s="203"/>
      <c r="V118" s="203"/>
      <c r="W118" s="203"/>
      <c r="X118" s="296"/>
      <c r="Y118" s="313"/>
    </row>
    <row r="119" spans="1:25" x14ac:dyDescent="0.2">
      <c r="A119" s="19" t="s">
        <v>59</v>
      </c>
      <c r="F119" s="119"/>
      <c r="G119" s="120"/>
      <c r="I119" s="50"/>
      <c r="J119" s="50"/>
      <c r="K119" s="18"/>
      <c r="S119" s="244"/>
      <c r="T119" s="203"/>
      <c r="U119" s="203"/>
      <c r="V119" s="203"/>
      <c r="W119" s="203"/>
      <c r="X119" s="296"/>
      <c r="Y119" s="313"/>
    </row>
    <row r="120" spans="1:25" x14ac:dyDescent="0.2">
      <c r="A120" s="19" t="s">
        <v>119</v>
      </c>
      <c r="F120" s="121"/>
      <c r="G120" s="121"/>
      <c r="I120" s="50"/>
      <c r="J120" s="50"/>
      <c r="K120" s="18"/>
      <c r="S120" s="222"/>
      <c r="T120" s="156"/>
      <c r="U120" s="156"/>
      <c r="V120" s="156"/>
      <c r="W120" s="156"/>
      <c r="X120" s="159"/>
      <c r="Y120" s="313"/>
    </row>
    <row r="121" spans="1:25" x14ac:dyDescent="0.2">
      <c r="A121" s="20" t="s">
        <v>149</v>
      </c>
      <c r="F121" s="118">
        <v>9.8280000000000004E-4</v>
      </c>
      <c r="G121" s="118">
        <f>+G113/10</f>
        <v>1.042E-3</v>
      </c>
      <c r="I121" s="50"/>
      <c r="J121" s="50"/>
      <c r="K121" s="18"/>
      <c r="S121" s="243">
        <v>1.1884635200000002E-3</v>
      </c>
      <c r="T121" s="202">
        <v>1.2719999999999999E-3</v>
      </c>
      <c r="U121" s="202">
        <v>1.0809000000000001E-3</v>
      </c>
      <c r="V121" s="202">
        <f>0.0010809*1.054</f>
        <v>1.1392686000000001E-3</v>
      </c>
      <c r="W121" s="361">
        <v>1.1393E-3</v>
      </c>
      <c r="X121" s="297">
        <f>+W121*1.045-0.0000001</f>
        <v>1.1904684999999998E-3</v>
      </c>
      <c r="Y121" s="321">
        <f>+X121*1.048</f>
        <v>1.2476109879999999E-3</v>
      </c>
    </row>
    <row r="122" spans="1:25" x14ac:dyDescent="0.2">
      <c r="A122" s="20" t="s">
        <v>211</v>
      </c>
      <c r="C122" t="s">
        <v>212</v>
      </c>
      <c r="F122" s="43"/>
      <c r="G122" s="43"/>
      <c r="I122" s="50"/>
      <c r="J122" s="50"/>
      <c r="K122" s="18"/>
      <c r="S122" s="245"/>
      <c r="T122" s="204"/>
      <c r="U122" s="204"/>
      <c r="V122" s="204"/>
      <c r="W122" s="204"/>
      <c r="X122" s="43"/>
      <c r="Y122" s="310"/>
    </row>
    <row r="123" spans="1:25" x14ac:dyDescent="0.2">
      <c r="A123" s="20" t="s">
        <v>213</v>
      </c>
      <c r="F123" s="43"/>
      <c r="G123" s="43"/>
      <c r="I123" s="50"/>
      <c r="J123" s="50"/>
      <c r="K123" s="18"/>
      <c r="S123" s="245"/>
      <c r="T123" s="204"/>
      <c r="U123" s="204"/>
      <c r="V123" s="204"/>
      <c r="W123" s="204"/>
      <c r="X123" s="43"/>
      <c r="Y123" s="310"/>
    </row>
    <row r="124" spans="1:25" x14ac:dyDescent="0.2">
      <c r="A124" s="19"/>
      <c r="F124" s="6"/>
      <c r="G124" s="6"/>
      <c r="I124" s="50"/>
      <c r="J124" s="50"/>
      <c r="K124" s="18"/>
      <c r="S124" s="246"/>
      <c r="T124" s="163"/>
      <c r="U124" s="205"/>
      <c r="V124" s="205"/>
      <c r="W124" s="205"/>
      <c r="X124" s="6"/>
      <c r="Y124" s="310"/>
    </row>
    <row r="125" spans="1:25" ht="13.5" thickBot="1" x14ac:dyDescent="0.25">
      <c r="A125" s="21" t="s">
        <v>131</v>
      </c>
      <c r="B125" s="22"/>
      <c r="C125" s="22"/>
      <c r="D125" s="22"/>
      <c r="E125" s="22"/>
      <c r="F125" s="60"/>
      <c r="G125" s="60"/>
      <c r="H125" s="22"/>
      <c r="I125" s="52"/>
      <c r="J125" s="52"/>
      <c r="K125" s="23"/>
      <c r="L125" s="22"/>
      <c r="M125" s="22"/>
      <c r="N125" s="22"/>
      <c r="O125" s="22"/>
      <c r="P125" s="22"/>
      <c r="Q125" s="22"/>
      <c r="R125" s="22"/>
      <c r="S125" s="60"/>
      <c r="T125" s="209"/>
      <c r="U125" s="275"/>
      <c r="V125" s="275"/>
      <c r="W125" s="275"/>
      <c r="X125" s="60"/>
      <c r="Y125" s="310"/>
    </row>
    <row r="126" spans="1:25" ht="13.5" thickBot="1" x14ac:dyDescent="0.25">
      <c r="A126" s="29"/>
      <c r="B126" s="30"/>
      <c r="C126" s="30"/>
      <c r="D126" s="30"/>
      <c r="E126" s="30"/>
      <c r="F126" s="61"/>
      <c r="G126" s="61"/>
      <c r="H126" s="30"/>
      <c r="I126" s="59"/>
      <c r="J126" s="59"/>
      <c r="K126" s="56"/>
      <c r="L126" s="30"/>
      <c r="M126" s="30"/>
      <c r="N126" s="30"/>
      <c r="O126" s="30"/>
      <c r="P126" s="30"/>
      <c r="Q126" s="30"/>
      <c r="R126" s="30"/>
      <c r="S126" s="247"/>
      <c r="T126" s="208"/>
      <c r="U126" s="208"/>
      <c r="V126" s="208"/>
      <c r="W126" s="208"/>
      <c r="X126" s="61"/>
      <c r="Y126" s="318"/>
    </row>
    <row r="127" spans="1:25" ht="13.5" thickBot="1" x14ac:dyDescent="0.25">
      <c r="A127" s="19"/>
      <c r="F127" s="64" t="str">
        <f>+F61</f>
        <v>2013/2014</v>
      </c>
      <c r="G127" s="89" t="str">
        <f>+G61</f>
        <v>2014/2015</v>
      </c>
      <c r="H127" s="7"/>
      <c r="I127" s="49" t="s">
        <v>69</v>
      </c>
      <c r="J127" s="83"/>
      <c r="K127" s="18"/>
      <c r="M127">
        <v>7</v>
      </c>
      <c r="S127" s="248" t="str">
        <f t="shared" ref="S127:X127" si="34">+S61</f>
        <v>2016/2017</v>
      </c>
      <c r="T127" s="89" t="str">
        <f t="shared" si="34"/>
        <v>2017/2018</v>
      </c>
      <c r="U127" s="89" t="str">
        <f t="shared" si="34"/>
        <v>2018/2019</v>
      </c>
      <c r="V127" s="89" t="str">
        <f t="shared" si="34"/>
        <v>2019/2020</v>
      </c>
      <c r="W127" s="89" t="str">
        <f t="shared" si="34"/>
        <v>2020/2021</v>
      </c>
      <c r="X127" s="248" t="str">
        <f t="shared" si="34"/>
        <v>2021/2022</v>
      </c>
      <c r="Y127" s="308" t="s">
        <v>447</v>
      </c>
    </row>
    <row r="128" spans="1:25" x14ac:dyDescent="0.2">
      <c r="A128" s="19"/>
      <c r="F128" s="43"/>
      <c r="G128" s="43"/>
      <c r="I128" s="50"/>
      <c r="J128" s="50"/>
      <c r="K128" s="18"/>
      <c r="S128" s="245"/>
      <c r="T128" s="204"/>
      <c r="U128" s="204"/>
      <c r="V128" s="204"/>
      <c r="W128" s="204"/>
      <c r="X128" s="43"/>
      <c r="Y128" s="322"/>
    </row>
    <row r="129" spans="1:25" x14ac:dyDescent="0.2">
      <c r="A129" s="17" t="s">
        <v>150</v>
      </c>
      <c r="F129" s="43"/>
      <c r="G129" s="43"/>
      <c r="I129" s="50"/>
      <c r="J129" s="50"/>
      <c r="S129" s="245"/>
      <c r="T129" s="204"/>
      <c r="U129" s="204"/>
      <c r="V129" s="204"/>
      <c r="W129" s="204"/>
      <c r="X129" s="43"/>
      <c r="Y129" s="310"/>
    </row>
    <row r="130" spans="1:25" x14ac:dyDescent="0.2">
      <c r="A130" s="19"/>
      <c r="F130" s="43"/>
      <c r="G130" s="43"/>
      <c r="I130" s="50"/>
      <c r="J130" s="50"/>
      <c r="S130" s="245"/>
      <c r="T130" s="204"/>
      <c r="U130" s="204"/>
      <c r="V130" s="342"/>
      <c r="W130" s="342"/>
      <c r="X130" s="343"/>
      <c r="Y130" s="341"/>
    </row>
    <row r="131" spans="1:25" x14ac:dyDescent="0.2">
      <c r="A131" s="17" t="s">
        <v>151</v>
      </c>
      <c r="B131" s="7"/>
      <c r="C131" s="7"/>
      <c r="D131" s="7"/>
      <c r="E131" s="8"/>
      <c r="F131" s="6"/>
      <c r="G131" s="6"/>
      <c r="I131" s="6"/>
      <c r="J131" s="6"/>
      <c r="S131" s="246"/>
      <c r="T131" s="163"/>
      <c r="U131" s="205"/>
      <c r="V131" s="352">
        <v>0</v>
      </c>
      <c r="W131" s="357">
        <v>0</v>
      </c>
      <c r="X131" s="337">
        <v>0</v>
      </c>
      <c r="Y131" s="332">
        <v>0</v>
      </c>
    </row>
    <row r="132" spans="1:25" ht="15.75" customHeight="1" x14ac:dyDescent="0.2">
      <c r="A132" s="19" t="s">
        <v>16</v>
      </c>
      <c r="E132" s="1"/>
      <c r="F132" s="116">
        <v>50.358000000000004</v>
      </c>
      <c r="G132" s="116">
        <v>53.88</v>
      </c>
      <c r="I132" s="51">
        <f t="shared" ref="I132" si="35">+G132*1.14</f>
        <v>61.423199999999994</v>
      </c>
      <c r="J132" s="51"/>
      <c r="K132" s="18"/>
      <c r="S132" s="222">
        <v>61</v>
      </c>
      <c r="T132" s="156">
        <v>61</v>
      </c>
      <c r="U132" s="156">
        <v>61</v>
      </c>
      <c r="V132" s="222">
        <v>61</v>
      </c>
      <c r="W132" s="156">
        <v>61</v>
      </c>
      <c r="X132" s="159">
        <v>61</v>
      </c>
      <c r="Y132" s="314">
        <v>61</v>
      </c>
    </row>
    <row r="133" spans="1:25" x14ac:dyDescent="0.2">
      <c r="A133" s="19"/>
      <c r="F133" s="28"/>
      <c r="G133" s="28"/>
      <c r="I133" s="50"/>
      <c r="J133" s="50"/>
      <c r="K133" s="18"/>
      <c r="S133" s="158"/>
      <c r="T133" s="163"/>
      <c r="U133" s="163"/>
      <c r="V133" s="158"/>
      <c r="W133" s="163"/>
      <c r="X133" s="28"/>
      <c r="Y133" s="323"/>
    </row>
    <row r="134" spans="1:25" x14ac:dyDescent="0.2">
      <c r="A134" s="17" t="s">
        <v>152</v>
      </c>
      <c r="B134" s="7"/>
      <c r="C134" s="7"/>
      <c r="D134" s="7"/>
      <c r="E134" s="8"/>
      <c r="F134" s="46"/>
      <c r="G134" s="47"/>
      <c r="I134" s="50"/>
      <c r="J134" s="50"/>
      <c r="K134" s="18"/>
      <c r="S134" s="242"/>
      <c r="T134" s="161"/>
      <c r="U134" s="161"/>
      <c r="V134" s="353"/>
      <c r="W134" s="290"/>
      <c r="X134" s="307"/>
      <c r="Y134" s="324"/>
    </row>
    <row r="135" spans="1:25" x14ac:dyDescent="0.2">
      <c r="A135" s="20" t="s">
        <v>446</v>
      </c>
      <c r="B135" s="7"/>
      <c r="C135" s="7"/>
      <c r="D135" s="7"/>
      <c r="E135" s="8"/>
      <c r="F135" s="46"/>
      <c r="G135" s="47"/>
      <c r="I135" s="50"/>
      <c r="J135" s="50"/>
      <c r="K135" s="18"/>
      <c r="S135" s="242"/>
      <c r="T135" s="161"/>
      <c r="U135" s="161"/>
      <c r="V135" s="242">
        <v>600</v>
      </c>
      <c r="W135" s="161">
        <v>800</v>
      </c>
      <c r="X135" s="47">
        <v>1000</v>
      </c>
      <c r="Y135" s="325">
        <v>1000</v>
      </c>
    </row>
    <row r="136" spans="1:25" ht="15.75" customHeight="1" x14ac:dyDescent="0.2">
      <c r="A136" s="19" t="s">
        <v>17</v>
      </c>
      <c r="E136" s="1"/>
      <c r="F136" s="116">
        <v>95.756499999999988</v>
      </c>
      <c r="G136" s="116">
        <v>102.46</v>
      </c>
      <c r="I136" s="51">
        <f t="shared" ref="I136:I138" si="36">+G136*1.14</f>
        <v>116.80439999999999</v>
      </c>
      <c r="J136" s="51"/>
      <c r="K136" s="18"/>
      <c r="S136" s="222">
        <v>117</v>
      </c>
      <c r="T136" s="156">
        <v>126</v>
      </c>
      <c r="U136" s="156">
        <v>130</v>
      </c>
      <c r="V136" s="222">
        <v>130</v>
      </c>
      <c r="W136" s="156">
        <v>130</v>
      </c>
      <c r="X136" s="159">
        <v>130</v>
      </c>
      <c r="Y136" s="314">
        <v>130</v>
      </c>
    </row>
    <row r="137" spans="1:25" x14ac:dyDescent="0.2">
      <c r="A137" s="19" t="s">
        <v>18</v>
      </c>
      <c r="E137" s="1"/>
      <c r="F137" s="116">
        <v>25.179000000000002</v>
      </c>
      <c r="G137" s="116">
        <v>26.94</v>
      </c>
      <c r="I137" s="51">
        <f t="shared" si="36"/>
        <v>30.711599999999997</v>
      </c>
      <c r="J137" s="51"/>
      <c r="K137" s="18"/>
      <c r="S137" s="222">
        <v>31</v>
      </c>
      <c r="T137" s="156">
        <v>34</v>
      </c>
      <c r="U137" s="156">
        <v>36</v>
      </c>
      <c r="V137" s="222">
        <v>36</v>
      </c>
      <c r="W137" s="156">
        <v>36</v>
      </c>
      <c r="X137" s="159">
        <v>36</v>
      </c>
      <c r="Y137" s="314">
        <v>36</v>
      </c>
    </row>
    <row r="138" spans="1:25" x14ac:dyDescent="0.2">
      <c r="A138" s="19" t="s">
        <v>19</v>
      </c>
      <c r="E138" s="1"/>
      <c r="F138" s="116">
        <v>11.390499999999999</v>
      </c>
      <c r="G138" s="116">
        <v>12.19</v>
      </c>
      <c r="I138" s="51">
        <f t="shared" si="36"/>
        <v>13.896599999999998</v>
      </c>
      <c r="J138" s="51"/>
      <c r="K138" s="18"/>
      <c r="S138" s="222">
        <v>14</v>
      </c>
      <c r="T138" s="156">
        <v>15</v>
      </c>
      <c r="U138" s="156">
        <v>16</v>
      </c>
      <c r="V138" s="222">
        <v>16</v>
      </c>
      <c r="W138" s="156">
        <v>16</v>
      </c>
      <c r="X138" s="159">
        <v>16</v>
      </c>
      <c r="Y138" s="314">
        <v>16</v>
      </c>
    </row>
    <row r="139" spans="1:25" x14ac:dyDescent="0.2">
      <c r="A139" s="19"/>
      <c r="F139" s="28"/>
      <c r="G139" s="28"/>
      <c r="I139" s="50"/>
      <c r="J139" s="50"/>
      <c r="K139" s="18"/>
      <c r="S139" s="158"/>
      <c r="T139" s="163"/>
      <c r="U139" s="163"/>
      <c r="V139" s="158"/>
      <c r="W139" s="163"/>
      <c r="X139" s="28"/>
      <c r="Y139" s="310"/>
    </row>
    <row r="140" spans="1:25" x14ac:dyDescent="0.2">
      <c r="A140" s="17" t="s">
        <v>153</v>
      </c>
      <c r="B140" s="7"/>
      <c r="C140" s="7"/>
      <c r="D140" s="7"/>
      <c r="E140" s="8"/>
      <c r="F140" s="46"/>
      <c r="G140" s="47"/>
      <c r="I140" s="50"/>
      <c r="J140" s="50"/>
      <c r="K140" s="18"/>
      <c r="S140" s="242"/>
      <c r="T140" s="161"/>
      <c r="U140" s="161"/>
      <c r="V140" s="242"/>
      <c r="W140" s="161"/>
      <c r="X140" s="47"/>
      <c r="Y140" s="310"/>
    </row>
    <row r="141" spans="1:25" ht="16.5" customHeight="1" x14ac:dyDescent="0.2">
      <c r="A141" s="19" t="s">
        <v>20</v>
      </c>
      <c r="E141" s="15"/>
      <c r="F141" s="116">
        <v>8</v>
      </c>
      <c r="G141" s="116">
        <v>8.77</v>
      </c>
      <c r="I141" s="51">
        <v>10</v>
      </c>
      <c r="J141" s="51"/>
      <c r="K141" s="18"/>
      <c r="S141" s="222">
        <v>4.3899999999999997</v>
      </c>
      <c r="T141" s="156">
        <v>4.3899999999999997</v>
      </c>
      <c r="U141" s="156">
        <v>4.3899999999999997</v>
      </c>
      <c r="V141" s="222">
        <v>4.3899999999999997</v>
      </c>
      <c r="W141" s="156">
        <v>4.3899999999999997</v>
      </c>
      <c r="X141" s="159">
        <v>4.3899999999999997</v>
      </c>
      <c r="Y141" s="314">
        <v>4.3899999999999997</v>
      </c>
    </row>
    <row r="142" spans="1:25" x14ac:dyDescent="0.2">
      <c r="A142" s="19" t="s">
        <v>21</v>
      </c>
      <c r="E142" s="15"/>
      <c r="F142" s="116">
        <v>252.89</v>
      </c>
      <c r="G142" s="116">
        <v>263.16000000000003</v>
      </c>
      <c r="I142" s="51">
        <v>300</v>
      </c>
      <c r="J142" s="51"/>
      <c r="K142" s="18"/>
      <c r="S142" s="222">
        <v>122.81</v>
      </c>
      <c r="T142" s="156">
        <v>122.81</v>
      </c>
      <c r="U142" s="156">
        <v>122.81</v>
      </c>
      <c r="V142" s="222">
        <v>122.81</v>
      </c>
      <c r="W142" s="156">
        <v>122.81</v>
      </c>
      <c r="X142" s="159">
        <v>122.81</v>
      </c>
      <c r="Y142" s="314">
        <v>122.81</v>
      </c>
    </row>
    <row r="143" spans="1:25" x14ac:dyDescent="0.2">
      <c r="A143" s="19"/>
      <c r="E143" s="4"/>
      <c r="F143" s="44"/>
      <c r="G143" s="28"/>
      <c r="I143" s="50"/>
      <c r="J143" s="50"/>
      <c r="K143" s="18"/>
      <c r="S143" s="158"/>
      <c r="T143" s="163"/>
      <c r="U143" s="163"/>
      <c r="V143" s="158"/>
      <c r="W143" s="163"/>
      <c r="X143" s="28"/>
      <c r="Y143" s="310"/>
    </row>
    <row r="144" spans="1:25" x14ac:dyDescent="0.2">
      <c r="A144" s="17" t="s">
        <v>154</v>
      </c>
      <c r="B144" s="7"/>
      <c r="C144" s="7"/>
      <c r="D144" s="7"/>
      <c r="E144" s="8"/>
      <c r="F144" s="46"/>
      <c r="G144" s="47"/>
      <c r="I144" s="50"/>
      <c r="J144" s="50"/>
      <c r="K144" s="18"/>
      <c r="S144" s="242"/>
      <c r="T144" s="161"/>
      <c r="U144" s="161"/>
      <c r="V144" s="242"/>
      <c r="W144" s="161"/>
      <c r="X144" s="47"/>
      <c r="Y144" s="310"/>
    </row>
    <row r="145" spans="1:25" ht="13.5" customHeight="1" x14ac:dyDescent="0.2">
      <c r="A145" s="19" t="s">
        <v>22</v>
      </c>
      <c r="E145" s="15"/>
      <c r="F145" s="122">
        <v>20</v>
      </c>
      <c r="G145" s="116">
        <v>0</v>
      </c>
      <c r="I145" s="51">
        <f t="shared" ref="I145:I148" si="37">+G145*1.14</f>
        <v>0</v>
      </c>
      <c r="J145" s="51"/>
      <c r="K145" s="18"/>
      <c r="S145" s="222">
        <v>0</v>
      </c>
      <c r="T145" s="156">
        <v>0</v>
      </c>
      <c r="U145" s="156">
        <v>0</v>
      </c>
      <c r="V145" s="222">
        <v>0</v>
      </c>
      <c r="W145" s="156">
        <v>0</v>
      </c>
      <c r="X145" s="159">
        <v>0</v>
      </c>
      <c r="Y145" s="313"/>
    </row>
    <row r="146" spans="1:25" x14ac:dyDescent="0.2">
      <c r="A146" s="19" t="s">
        <v>23</v>
      </c>
      <c r="E146" s="15"/>
      <c r="F146" s="122">
        <v>33</v>
      </c>
      <c r="G146" s="116">
        <v>0</v>
      </c>
      <c r="I146" s="51">
        <f t="shared" si="37"/>
        <v>0</v>
      </c>
      <c r="J146" s="51"/>
      <c r="K146" s="18"/>
      <c r="S146" s="222">
        <v>0</v>
      </c>
      <c r="T146" s="156">
        <v>0</v>
      </c>
      <c r="U146" s="156">
        <v>0</v>
      </c>
      <c r="V146" s="222">
        <v>0</v>
      </c>
      <c r="W146" s="156">
        <v>0</v>
      </c>
      <c r="X146" s="159">
        <v>0</v>
      </c>
      <c r="Y146" s="313"/>
    </row>
    <row r="147" spans="1:25" x14ac:dyDescent="0.2">
      <c r="A147" s="19" t="s">
        <v>24</v>
      </c>
      <c r="E147" s="15"/>
      <c r="F147" s="122">
        <v>20</v>
      </c>
      <c r="G147" s="116">
        <v>0</v>
      </c>
      <c r="I147" s="51"/>
      <c r="J147" s="51"/>
      <c r="K147" s="18"/>
      <c r="S147" s="222">
        <v>0</v>
      </c>
      <c r="T147" s="156">
        <v>0</v>
      </c>
      <c r="U147" s="156">
        <v>0</v>
      </c>
      <c r="V147" s="222">
        <v>0</v>
      </c>
      <c r="W147" s="156">
        <v>0</v>
      </c>
      <c r="X147" s="159">
        <v>0</v>
      </c>
      <c r="Y147" s="313"/>
    </row>
    <row r="148" spans="1:25" x14ac:dyDescent="0.2">
      <c r="A148" s="19"/>
      <c r="F148" s="6"/>
      <c r="G148" s="28"/>
      <c r="I148" s="51">
        <f t="shared" si="37"/>
        <v>0</v>
      </c>
      <c r="J148" s="51"/>
      <c r="K148" s="18"/>
      <c r="S148" s="158"/>
      <c r="T148" s="163"/>
      <c r="U148" s="163"/>
      <c r="V148" s="158"/>
      <c r="W148" s="163"/>
      <c r="X148" s="28"/>
      <c r="Y148" s="310"/>
    </row>
    <row r="149" spans="1:25" ht="15.75" customHeight="1" x14ac:dyDescent="0.2">
      <c r="A149" s="17" t="s">
        <v>155</v>
      </c>
      <c r="B149" s="7"/>
      <c r="C149" s="7"/>
      <c r="D149" s="7"/>
      <c r="E149" s="8"/>
      <c r="F149" s="6"/>
      <c r="G149" s="6"/>
      <c r="I149" s="6"/>
      <c r="J149" s="6"/>
      <c r="S149" s="246"/>
      <c r="T149" s="163"/>
      <c r="U149" s="205"/>
      <c r="V149" s="354"/>
      <c r="W149" s="224"/>
      <c r="X149" s="344"/>
      <c r="Y149" s="341"/>
    </row>
    <row r="150" spans="1:25" ht="19.5" customHeight="1" x14ac:dyDescent="0.2">
      <c r="A150" s="17" t="s">
        <v>120</v>
      </c>
      <c r="B150" s="7"/>
      <c r="C150" s="7"/>
      <c r="D150" s="7"/>
      <c r="E150" s="8"/>
      <c r="F150" s="46"/>
      <c r="G150" s="47"/>
      <c r="I150" s="50"/>
      <c r="J150" s="50"/>
      <c r="K150" s="18"/>
      <c r="S150" s="242"/>
      <c r="T150" s="161"/>
      <c r="U150" s="161"/>
      <c r="V150" s="242"/>
      <c r="W150" s="336">
        <v>4.4999999999999998E-2</v>
      </c>
      <c r="X150" s="291">
        <v>4.4999999999999998E-2</v>
      </c>
      <c r="Y150" s="332">
        <v>4.8000000000000001E-2</v>
      </c>
    </row>
    <row r="151" spans="1:25" ht="12.75" customHeight="1" x14ac:dyDescent="0.2">
      <c r="A151" s="20" t="s">
        <v>480</v>
      </c>
      <c r="E151" s="15"/>
      <c r="F151" s="116">
        <v>522.5</v>
      </c>
      <c r="G151" s="116">
        <v>1000</v>
      </c>
      <c r="I151" s="51">
        <f t="shared" ref="I151:I152" si="38">+G151*1.14</f>
        <v>1140</v>
      </c>
      <c r="J151" s="51"/>
      <c r="K151" s="18"/>
      <c r="S151" s="222">
        <v>1140</v>
      </c>
      <c r="T151" s="156">
        <v>1220</v>
      </c>
      <c r="U151" s="156">
        <v>1295</v>
      </c>
      <c r="V151" s="222">
        <v>1370</v>
      </c>
      <c r="W151" s="156">
        <v>1432</v>
      </c>
      <c r="X151" s="159">
        <v>0</v>
      </c>
      <c r="Y151" s="313"/>
    </row>
    <row r="152" spans="1:25" x14ac:dyDescent="0.2">
      <c r="A152" s="20" t="s">
        <v>437</v>
      </c>
      <c r="E152" s="15"/>
      <c r="F152" s="116">
        <v>93.500000000000014</v>
      </c>
      <c r="G152" s="116">
        <v>102.85</v>
      </c>
      <c r="I152" s="51">
        <f t="shared" si="38"/>
        <v>117.24899999999998</v>
      </c>
      <c r="J152" s="51"/>
      <c r="K152" s="18"/>
      <c r="S152" s="222">
        <v>117</v>
      </c>
      <c r="T152" s="156">
        <v>125</v>
      </c>
      <c r="U152" s="156">
        <v>133</v>
      </c>
      <c r="V152" s="222">
        <v>140</v>
      </c>
      <c r="W152" s="156">
        <v>147</v>
      </c>
      <c r="X152" s="159">
        <v>155</v>
      </c>
      <c r="Y152" s="319">
        <v>163</v>
      </c>
    </row>
    <row r="153" spans="1:25" x14ac:dyDescent="0.2">
      <c r="A153" s="19"/>
      <c r="E153" s="15"/>
      <c r="F153" s="28"/>
      <c r="G153" s="28"/>
      <c r="I153" s="51"/>
      <c r="J153" s="51"/>
      <c r="K153" s="18"/>
      <c r="S153" s="158"/>
      <c r="T153" s="163"/>
      <c r="U153" s="163"/>
      <c r="V153" s="222"/>
      <c r="W153" s="156"/>
      <c r="X153" s="294"/>
      <c r="Y153" s="313"/>
    </row>
    <row r="154" spans="1:25" x14ac:dyDescent="0.2">
      <c r="A154" s="17" t="s">
        <v>439</v>
      </c>
      <c r="E154" s="15"/>
      <c r="F154" s="28"/>
      <c r="G154" s="28"/>
      <c r="I154" s="51"/>
      <c r="J154" s="51"/>
      <c r="K154" s="18"/>
      <c r="S154" s="158"/>
      <c r="T154" s="163"/>
      <c r="U154" s="163"/>
      <c r="V154" s="158"/>
      <c r="W154" s="336">
        <v>4.4999999999999998E-2</v>
      </c>
      <c r="X154" s="291">
        <v>4.4999999999999998E-2</v>
      </c>
      <c r="Y154" s="332">
        <v>4.8000000000000001E-2</v>
      </c>
    </row>
    <row r="155" spans="1:25" ht="30.75" customHeight="1" x14ac:dyDescent="0.2">
      <c r="A155" s="20"/>
      <c r="B155" s="368" t="s">
        <v>471</v>
      </c>
      <c r="C155" s="368"/>
      <c r="D155" s="368"/>
      <c r="E155" s="15"/>
      <c r="F155" s="116"/>
      <c r="G155" s="116"/>
      <c r="I155" s="51"/>
      <c r="J155" s="51"/>
      <c r="K155" s="18"/>
      <c r="S155" s="222"/>
      <c r="T155" s="156"/>
      <c r="U155" s="156"/>
      <c r="V155" s="222"/>
      <c r="W155" s="156">
        <v>3000</v>
      </c>
      <c r="X155" s="159">
        <v>3000</v>
      </c>
      <c r="Y155" s="319">
        <v>3000</v>
      </c>
    </row>
    <row r="156" spans="1:25" ht="29.45" customHeight="1" x14ac:dyDescent="0.2">
      <c r="A156" s="20"/>
      <c r="B156" s="366" t="s">
        <v>472</v>
      </c>
      <c r="C156" s="366"/>
      <c r="D156" s="366"/>
      <c r="E156" s="15"/>
      <c r="F156" s="116"/>
      <c r="G156" s="116"/>
      <c r="I156" s="51"/>
      <c r="J156" s="51"/>
      <c r="K156" s="18"/>
      <c r="S156" s="222"/>
      <c r="T156" s="156"/>
      <c r="U156" s="156"/>
      <c r="V156" s="222"/>
      <c r="W156" s="358">
        <v>2000</v>
      </c>
      <c r="X156" s="348">
        <v>2200</v>
      </c>
      <c r="Y156" s="349">
        <v>2420</v>
      </c>
    </row>
    <row r="157" spans="1:25" x14ac:dyDescent="0.2">
      <c r="A157" s="20"/>
      <c r="B157" s="2" t="s">
        <v>473</v>
      </c>
      <c r="C157" s="2"/>
      <c r="E157" s="15"/>
      <c r="F157" s="116"/>
      <c r="G157" s="116"/>
      <c r="I157" s="51"/>
      <c r="J157" s="51"/>
      <c r="K157" s="18"/>
      <c r="S157" s="222"/>
      <c r="T157" s="156"/>
      <c r="U157" s="156"/>
      <c r="V157" s="222"/>
      <c r="W157" s="156">
        <v>1000</v>
      </c>
      <c r="X157" s="159">
        <v>1000</v>
      </c>
      <c r="Y157" s="319">
        <v>1000</v>
      </c>
    </row>
    <row r="158" spans="1:25" x14ac:dyDescent="0.2">
      <c r="A158" s="20"/>
      <c r="B158" s="2" t="s">
        <v>474</v>
      </c>
      <c r="C158" s="2"/>
      <c r="E158" s="15"/>
      <c r="F158" s="116"/>
      <c r="G158" s="116"/>
      <c r="I158" s="51"/>
      <c r="J158" s="51"/>
      <c r="K158" s="18"/>
      <c r="S158" s="222"/>
      <c r="T158" s="156"/>
      <c r="U158" s="156"/>
      <c r="V158" s="222"/>
      <c r="W158" s="156">
        <v>4000</v>
      </c>
      <c r="X158" s="159">
        <v>4000</v>
      </c>
      <c r="Y158" s="319">
        <v>4190</v>
      </c>
    </row>
    <row r="159" spans="1:25" x14ac:dyDescent="0.2">
      <c r="A159" s="20"/>
      <c r="B159" s="2" t="s">
        <v>475</v>
      </c>
      <c r="C159" s="2"/>
      <c r="E159" s="15"/>
      <c r="F159" s="116"/>
      <c r="G159" s="116"/>
      <c r="I159" s="51"/>
      <c r="J159" s="51"/>
      <c r="K159" s="18"/>
      <c r="S159" s="222"/>
      <c r="T159" s="156"/>
      <c r="U159" s="156"/>
      <c r="V159" s="222"/>
      <c r="W159" s="156">
        <v>2500</v>
      </c>
      <c r="X159" s="159">
        <v>2500</v>
      </c>
      <c r="Y159" s="319">
        <f t="shared" ref="Y159" si="39">+X159*1.048</f>
        <v>2620</v>
      </c>
    </row>
    <row r="160" spans="1:25" x14ac:dyDescent="0.2">
      <c r="A160" s="20"/>
      <c r="B160" t="s">
        <v>466</v>
      </c>
      <c r="C160" s="2"/>
      <c r="D160" s="2"/>
      <c r="E160" s="15"/>
      <c r="F160" s="116"/>
      <c r="G160" s="116"/>
      <c r="I160" s="51"/>
      <c r="J160" s="51"/>
      <c r="K160" s="18"/>
      <c r="S160" s="222"/>
      <c r="T160" s="156"/>
      <c r="U160" s="156"/>
      <c r="V160" s="236" t="s">
        <v>481</v>
      </c>
      <c r="W160" s="156">
        <v>1100</v>
      </c>
      <c r="X160" s="159">
        <v>1200</v>
      </c>
      <c r="Y160" s="319">
        <v>1260</v>
      </c>
    </row>
    <row r="161" spans="1:25" x14ac:dyDescent="0.2">
      <c r="A161" s="17" t="s">
        <v>438</v>
      </c>
      <c r="C161" s="2"/>
      <c r="D161" s="2"/>
      <c r="E161" s="15"/>
      <c r="F161" s="116"/>
      <c r="G161" s="116">
        <v>100</v>
      </c>
      <c r="I161" s="51">
        <f t="shared" ref="I161" si="40">+G161*1.14</f>
        <v>113.99999999999999</v>
      </c>
      <c r="J161" s="51"/>
      <c r="K161" s="18"/>
      <c r="S161" s="222">
        <v>114</v>
      </c>
      <c r="T161" s="156">
        <v>122</v>
      </c>
      <c r="U161" s="156">
        <v>130</v>
      </c>
      <c r="V161" s="222"/>
      <c r="W161" s="156"/>
      <c r="X161" s="159"/>
      <c r="Y161" s="313"/>
    </row>
    <row r="162" spans="1:25" x14ac:dyDescent="0.2">
      <c r="A162" s="20"/>
      <c r="B162" s="2" t="s">
        <v>476</v>
      </c>
      <c r="C162" s="2"/>
      <c r="D162" s="2"/>
      <c r="E162" s="15"/>
      <c r="F162" s="116"/>
      <c r="G162" s="116"/>
      <c r="I162" s="51"/>
      <c r="J162" s="51"/>
      <c r="K162" s="18"/>
      <c r="S162" s="222"/>
      <c r="T162" s="156"/>
      <c r="U162" s="156"/>
      <c r="V162" s="222">
        <v>95</v>
      </c>
      <c r="W162" s="156">
        <v>100</v>
      </c>
      <c r="X162" s="159">
        <v>105</v>
      </c>
      <c r="Y162" s="319">
        <v>110</v>
      </c>
    </row>
    <row r="163" spans="1:25" ht="15.75" customHeight="1" x14ac:dyDescent="0.2">
      <c r="A163" s="20"/>
      <c r="B163" s="366" t="s">
        <v>477</v>
      </c>
      <c r="C163" s="367"/>
      <c r="D163" s="367"/>
      <c r="E163" s="15"/>
      <c r="F163" s="116"/>
      <c r="G163" s="116"/>
      <c r="I163" s="51"/>
      <c r="J163" s="51"/>
      <c r="K163" s="18"/>
      <c r="S163" s="222"/>
      <c r="T163" s="156"/>
      <c r="U163" s="156"/>
      <c r="V163" s="355">
        <v>95</v>
      </c>
      <c r="W163" s="350">
        <v>100</v>
      </c>
      <c r="X163" s="348">
        <v>105</v>
      </c>
      <c r="Y163" s="349">
        <v>110</v>
      </c>
    </row>
    <row r="164" spans="1:25" x14ac:dyDescent="0.2">
      <c r="A164" s="20"/>
      <c r="C164" s="2"/>
      <c r="D164" s="2"/>
      <c r="E164" s="15"/>
      <c r="F164" s="116"/>
      <c r="G164" s="116"/>
      <c r="I164" s="51"/>
      <c r="J164" s="51"/>
      <c r="K164" s="18"/>
      <c r="S164" s="222"/>
      <c r="T164" s="156"/>
      <c r="U164" s="156"/>
      <c r="V164" s="222"/>
      <c r="W164" s="156"/>
      <c r="X164" s="159"/>
      <c r="Y164" s="313"/>
    </row>
    <row r="165" spans="1:25" x14ac:dyDescent="0.2">
      <c r="A165" s="20" t="s">
        <v>478</v>
      </c>
      <c r="E165" s="15"/>
      <c r="F165" s="28"/>
      <c r="G165" s="28"/>
      <c r="I165" s="51"/>
      <c r="J165" s="51"/>
      <c r="K165" s="18"/>
      <c r="S165" s="158"/>
      <c r="T165" s="163"/>
      <c r="U165" s="163"/>
      <c r="V165" s="222">
        <v>0</v>
      </c>
      <c r="W165" s="156">
        <v>10600</v>
      </c>
      <c r="X165" s="294">
        <v>11236</v>
      </c>
      <c r="Y165" s="319">
        <v>11236</v>
      </c>
    </row>
    <row r="166" spans="1:25" ht="12" customHeight="1" x14ac:dyDescent="0.2">
      <c r="A166" s="19"/>
      <c r="E166" s="4"/>
      <c r="F166" s="44"/>
      <c r="G166" s="28"/>
      <c r="I166" s="51"/>
      <c r="J166" s="51"/>
      <c r="K166" s="18"/>
      <c r="S166" s="158"/>
      <c r="T166" s="163"/>
      <c r="U166" s="163"/>
      <c r="V166" s="222"/>
      <c r="W166" s="156"/>
      <c r="X166" s="294"/>
      <c r="Y166" s="313"/>
    </row>
    <row r="167" spans="1:25" x14ac:dyDescent="0.2">
      <c r="A167" s="17" t="s">
        <v>156</v>
      </c>
      <c r="B167" s="7"/>
      <c r="C167" s="7"/>
      <c r="D167" s="7"/>
      <c r="E167" s="8"/>
      <c r="F167" s="46"/>
      <c r="G167" s="47"/>
      <c r="I167" s="50"/>
      <c r="J167" s="50"/>
      <c r="K167" s="18"/>
      <c r="S167" s="242"/>
      <c r="T167" s="161"/>
      <c r="U167" s="161"/>
      <c r="V167" s="242"/>
      <c r="W167" s="336">
        <v>4.4999999999999998E-2</v>
      </c>
      <c r="X167" s="291">
        <v>4.4999999999999998E-2</v>
      </c>
      <c r="Y167" s="332">
        <v>4.8000000000000001E-2</v>
      </c>
    </row>
    <row r="168" spans="1:25" ht="18.75" customHeight="1" x14ac:dyDescent="0.2">
      <c r="A168" s="20" t="s">
        <v>486</v>
      </c>
      <c r="B168" s="2"/>
      <c r="E168" s="16"/>
      <c r="F168" s="116">
        <v>1996.5000000000005</v>
      </c>
      <c r="G168" s="116">
        <v>2200</v>
      </c>
      <c r="I168" s="51">
        <f t="shared" ref="I168:I171" si="41">+G168*1.14</f>
        <v>2508</v>
      </c>
      <c r="J168" s="51"/>
      <c r="K168" s="18"/>
      <c r="S168" s="222">
        <v>2510</v>
      </c>
      <c r="T168" s="156">
        <v>2690</v>
      </c>
      <c r="U168" s="156">
        <v>2850</v>
      </c>
      <c r="V168" s="222">
        <f>2850*1.06</f>
        <v>3021</v>
      </c>
      <c r="W168" s="156">
        <v>3160</v>
      </c>
      <c r="X168" s="159">
        <v>3300</v>
      </c>
      <c r="Y168" s="319">
        <v>3460</v>
      </c>
    </row>
    <row r="169" spans="1:25" x14ac:dyDescent="0.2">
      <c r="A169" s="20" t="s">
        <v>485</v>
      </c>
      <c r="B169" s="2"/>
      <c r="E169" s="3"/>
      <c r="F169" s="116">
        <v>1131.3500000000001</v>
      </c>
      <c r="G169" s="116">
        <v>1200</v>
      </c>
      <c r="I169" s="51">
        <f t="shared" si="41"/>
        <v>1367.9999999999998</v>
      </c>
      <c r="J169" s="51"/>
      <c r="K169" s="18"/>
      <c r="S169" s="222">
        <v>1370</v>
      </c>
      <c r="T169" s="156">
        <v>1470</v>
      </c>
      <c r="U169" s="156">
        <v>1560</v>
      </c>
      <c r="V169" s="222">
        <v>1654</v>
      </c>
      <c r="W169" s="156">
        <v>1728</v>
      </c>
      <c r="X169" s="159">
        <v>1800</v>
      </c>
      <c r="Y169" s="319">
        <v>1890</v>
      </c>
    </row>
    <row r="170" spans="1:25" x14ac:dyDescent="0.2">
      <c r="A170" s="20" t="s">
        <v>484</v>
      </c>
      <c r="B170" s="2"/>
      <c r="E170" s="3"/>
      <c r="F170" s="116"/>
      <c r="G170" s="116"/>
      <c r="I170" s="51"/>
      <c r="J170" s="51"/>
      <c r="K170" s="18"/>
      <c r="S170" s="222"/>
      <c r="T170" s="156"/>
      <c r="U170" s="156"/>
      <c r="V170" s="222">
        <v>23</v>
      </c>
      <c r="W170" s="156">
        <v>23</v>
      </c>
      <c r="X170" s="159">
        <v>23</v>
      </c>
      <c r="Y170" s="319">
        <v>24</v>
      </c>
    </row>
    <row r="171" spans="1:25" x14ac:dyDescent="0.2">
      <c r="A171" s="20" t="s">
        <v>440</v>
      </c>
      <c r="B171" s="2"/>
      <c r="E171" s="3"/>
      <c r="F171" s="116">
        <v>1131.3500000000001</v>
      </c>
      <c r="G171" s="116">
        <v>1244.49</v>
      </c>
      <c r="I171" s="51">
        <f t="shared" si="41"/>
        <v>1418.7185999999999</v>
      </c>
      <c r="J171" s="51"/>
      <c r="K171" s="18"/>
      <c r="S171" s="222">
        <v>1420</v>
      </c>
      <c r="T171" s="156">
        <v>1520</v>
      </c>
      <c r="U171" s="156">
        <v>1610</v>
      </c>
      <c r="V171" s="222">
        <v>1707</v>
      </c>
      <c r="W171" s="156">
        <v>1800</v>
      </c>
      <c r="X171" s="159">
        <v>1900</v>
      </c>
      <c r="Y171" s="319">
        <v>1990</v>
      </c>
    </row>
    <row r="172" spans="1:25" x14ac:dyDescent="0.2">
      <c r="A172" s="20" t="s">
        <v>441</v>
      </c>
      <c r="B172" s="2"/>
      <c r="E172" s="3"/>
      <c r="F172" s="28"/>
      <c r="G172" s="28"/>
      <c r="I172" s="51"/>
      <c r="J172" s="51"/>
      <c r="K172" s="18"/>
      <c r="S172" s="158"/>
      <c r="T172" s="156">
        <v>1700</v>
      </c>
      <c r="U172" s="156">
        <v>1800</v>
      </c>
      <c r="V172" s="222">
        <v>1908</v>
      </c>
      <c r="W172" s="156">
        <v>1995</v>
      </c>
      <c r="X172" s="222">
        <v>2100</v>
      </c>
      <c r="Y172" s="319">
        <v>2200</v>
      </c>
    </row>
    <row r="173" spans="1:25" x14ac:dyDescent="0.2">
      <c r="A173" s="20" t="s">
        <v>442</v>
      </c>
      <c r="B173" s="2"/>
      <c r="E173" s="3"/>
      <c r="F173" s="28"/>
      <c r="G173" s="28"/>
      <c r="I173" s="51"/>
      <c r="J173" s="51"/>
      <c r="K173" s="18"/>
      <c r="S173" s="158"/>
      <c r="T173" s="156">
        <v>1700</v>
      </c>
      <c r="U173" s="156">
        <v>1800</v>
      </c>
      <c r="V173" s="222">
        <v>1500</v>
      </c>
      <c r="W173" s="156">
        <v>1500</v>
      </c>
      <c r="X173" s="222">
        <v>1700</v>
      </c>
      <c r="Y173" s="319">
        <v>1780</v>
      </c>
    </row>
    <row r="174" spans="1:25" x14ac:dyDescent="0.2">
      <c r="A174" s="20"/>
      <c r="B174" s="2"/>
      <c r="E174" s="3"/>
      <c r="F174" s="28"/>
      <c r="G174" s="28"/>
      <c r="I174" s="50"/>
      <c r="J174" s="50"/>
      <c r="K174" s="18"/>
      <c r="S174" s="158"/>
      <c r="T174" s="163"/>
      <c r="U174" s="163"/>
      <c r="V174" s="158"/>
      <c r="W174" s="163"/>
      <c r="X174" s="28"/>
      <c r="Y174" s="310"/>
    </row>
    <row r="175" spans="1:25" x14ac:dyDescent="0.2">
      <c r="A175" s="17" t="s">
        <v>157</v>
      </c>
      <c r="B175" s="7"/>
      <c r="C175" s="7"/>
      <c r="D175" s="7"/>
      <c r="E175" s="8"/>
      <c r="F175" s="46"/>
      <c r="G175" s="47"/>
      <c r="I175" s="50"/>
      <c r="J175" s="50"/>
      <c r="K175" s="18"/>
      <c r="S175" s="242"/>
      <c r="T175" s="161"/>
      <c r="U175" s="161"/>
      <c r="V175" s="353"/>
      <c r="W175" s="290"/>
      <c r="X175" s="307"/>
      <c r="Y175" s="341"/>
    </row>
    <row r="176" spans="1:25" ht="17.25" customHeight="1" x14ac:dyDescent="0.2">
      <c r="A176" s="17" t="s">
        <v>31</v>
      </c>
      <c r="B176" s="7"/>
      <c r="E176" s="4"/>
      <c r="F176" s="44"/>
      <c r="G176" s="28"/>
      <c r="I176" s="50"/>
      <c r="J176" s="50"/>
      <c r="K176" s="18"/>
      <c r="S176" s="158"/>
      <c r="T176" s="163"/>
      <c r="U176" s="163"/>
      <c r="V176" s="158"/>
      <c r="W176" s="336">
        <v>4.4999999999999998E-2</v>
      </c>
      <c r="X176" s="291">
        <v>4.4999999999999998E-2</v>
      </c>
      <c r="Y176" s="332">
        <v>4.8000000000000001E-2</v>
      </c>
    </row>
    <row r="177" spans="1:25" x14ac:dyDescent="0.2">
      <c r="A177" s="19" t="s">
        <v>32</v>
      </c>
      <c r="E177" s="15"/>
      <c r="F177" s="116">
        <v>308.55</v>
      </c>
      <c r="G177" s="116">
        <v>550</v>
      </c>
      <c r="I177" s="51">
        <f t="shared" ref="I177:I179" si="42">+G177*1.14</f>
        <v>627</v>
      </c>
      <c r="J177" s="51"/>
      <c r="K177" s="18"/>
      <c r="S177" s="222">
        <v>630</v>
      </c>
      <c r="T177" s="156">
        <v>675</v>
      </c>
      <c r="U177" s="156">
        <v>715</v>
      </c>
      <c r="V177" s="222">
        <v>760</v>
      </c>
      <c r="W177" s="156">
        <v>795</v>
      </c>
      <c r="X177" s="159">
        <v>835</v>
      </c>
      <c r="Y177" s="319">
        <v>875</v>
      </c>
    </row>
    <row r="178" spans="1:25" x14ac:dyDescent="0.2">
      <c r="A178" s="19" t="s">
        <v>467</v>
      </c>
      <c r="E178" s="15"/>
      <c r="F178" s="116">
        <v>768.35</v>
      </c>
      <c r="G178" s="116">
        <v>800</v>
      </c>
      <c r="I178" s="51">
        <f t="shared" si="42"/>
        <v>911.99999999999989</v>
      </c>
      <c r="J178" s="51"/>
      <c r="K178" s="18"/>
      <c r="S178" s="222">
        <v>915</v>
      </c>
      <c r="T178" s="156">
        <v>980</v>
      </c>
      <c r="U178" s="156">
        <v>1040</v>
      </c>
      <c r="V178" s="222">
        <v>1700</v>
      </c>
      <c r="W178" s="156">
        <v>1800</v>
      </c>
      <c r="X178" s="159">
        <v>1900</v>
      </c>
      <c r="Y178" s="319">
        <v>1990</v>
      </c>
    </row>
    <row r="179" spans="1:25" x14ac:dyDescent="0.2">
      <c r="A179" s="19" t="s">
        <v>468</v>
      </c>
      <c r="E179" s="15"/>
      <c r="F179" s="116">
        <v>665.5</v>
      </c>
      <c r="G179" s="116">
        <v>1000</v>
      </c>
      <c r="I179" s="51">
        <f t="shared" si="42"/>
        <v>1140</v>
      </c>
      <c r="J179" s="51"/>
      <c r="K179" s="18"/>
      <c r="S179" s="222">
        <v>1140</v>
      </c>
      <c r="T179" s="156">
        <v>1220</v>
      </c>
      <c r="U179" s="156">
        <v>1295</v>
      </c>
      <c r="V179" s="222">
        <v>1050</v>
      </c>
      <c r="W179" s="156">
        <v>1150</v>
      </c>
      <c r="X179" s="159">
        <v>1200</v>
      </c>
      <c r="Y179" s="319">
        <v>1260</v>
      </c>
    </row>
    <row r="180" spans="1:25" x14ac:dyDescent="0.2">
      <c r="A180" s="19"/>
      <c r="E180" s="15"/>
      <c r="F180" s="28"/>
      <c r="G180" s="28"/>
      <c r="I180" s="50"/>
      <c r="J180" s="50"/>
      <c r="K180" s="18"/>
      <c r="S180" s="158"/>
      <c r="T180" s="163"/>
      <c r="U180" s="163"/>
      <c r="V180" s="158"/>
      <c r="W180" s="163"/>
      <c r="X180" s="28"/>
      <c r="Y180" s="310"/>
    </row>
    <row r="181" spans="1:25" x14ac:dyDescent="0.2">
      <c r="A181" s="17" t="s">
        <v>443</v>
      </c>
      <c r="E181" s="15"/>
      <c r="F181" s="28"/>
      <c r="G181" s="28"/>
      <c r="I181" s="50"/>
      <c r="J181" s="50"/>
      <c r="K181" s="18"/>
      <c r="S181" s="158"/>
      <c r="T181" s="163"/>
      <c r="U181" s="163"/>
      <c r="V181" s="158"/>
      <c r="W181" s="163"/>
      <c r="X181" s="28"/>
      <c r="Y181" s="310"/>
    </row>
    <row r="182" spans="1:25" x14ac:dyDescent="0.2">
      <c r="A182" s="17"/>
      <c r="B182" s="2" t="s">
        <v>479</v>
      </c>
      <c r="E182" s="15"/>
      <c r="F182" s="28"/>
      <c r="G182" s="28"/>
      <c r="I182" s="50"/>
      <c r="J182" s="50"/>
      <c r="K182" s="18"/>
      <c r="S182" s="158"/>
      <c r="T182" s="163"/>
      <c r="U182" s="163"/>
      <c r="V182" s="222"/>
      <c r="W182" s="156">
        <v>700</v>
      </c>
      <c r="X182" s="156">
        <v>800</v>
      </c>
      <c r="Y182" s="351">
        <v>1000</v>
      </c>
    </row>
    <row r="183" spans="1:25" x14ac:dyDescent="0.2">
      <c r="A183" s="17"/>
      <c r="B183" s="2" t="s">
        <v>482</v>
      </c>
      <c r="E183" s="15"/>
      <c r="F183" s="28"/>
      <c r="G183" s="28"/>
      <c r="I183" s="50"/>
      <c r="J183" s="50"/>
      <c r="K183" s="18"/>
      <c r="S183" s="158"/>
      <c r="T183" s="163"/>
      <c r="U183" s="163"/>
      <c r="V183" s="158"/>
      <c r="W183" s="156"/>
      <c r="X183" s="156"/>
      <c r="Y183" s="351">
        <v>500</v>
      </c>
    </row>
    <row r="184" spans="1:25" x14ac:dyDescent="0.2">
      <c r="A184" s="17"/>
      <c r="B184" s="2" t="s">
        <v>483</v>
      </c>
      <c r="E184" s="15"/>
      <c r="F184" s="28"/>
      <c r="G184" s="28"/>
      <c r="I184" s="50"/>
      <c r="J184" s="50"/>
      <c r="K184" s="18"/>
      <c r="S184" s="158"/>
      <c r="T184" s="163"/>
      <c r="U184" s="163"/>
      <c r="V184" s="158"/>
      <c r="W184" s="156"/>
      <c r="X184" s="156"/>
      <c r="Y184" s="351">
        <v>500</v>
      </c>
    </row>
    <row r="185" spans="1:25" x14ac:dyDescent="0.2">
      <c r="A185" s="17" t="s">
        <v>34</v>
      </c>
      <c r="E185" s="4"/>
      <c r="F185" s="44"/>
      <c r="G185" s="28"/>
      <c r="I185" s="50"/>
      <c r="J185" s="50"/>
      <c r="K185" s="18"/>
      <c r="S185" s="158"/>
      <c r="T185" s="163"/>
      <c r="U185" s="163"/>
      <c r="V185" s="158"/>
      <c r="W185" s="163"/>
      <c r="X185" s="28"/>
      <c r="Y185" s="310"/>
    </row>
    <row r="186" spans="1:25" x14ac:dyDescent="0.2">
      <c r="A186" s="19" t="s">
        <v>35</v>
      </c>
      <c r="E186" s="3"/>
      <c r="F186" s="116">
        <v>363.00000000000006</v>
      </c>
      <c r="G186" s="116">
        <v>400</v>
      </c>
      <c r="I186" s="50">
        <f>+G186*1.14</f>
        <v>455.99999999999994</v>
      </c>
      <c r="J186" s="50"/>
      <c r="K186" s="18"/>
      <c r="S186" s="222">
        <v>460</v>
      </c>
      <c r="T186" s="156">
        <v>495</v>
      </c>
      <c r="U186" s="156">
        <v>525</v>
      </c>
      <c r="V186" s="222">
        <v>560</v>
      </c>
      <c r="W186" s="156">
        <v>590</v>
      </c>
      <c r="X186" s="159">
        <v>610</v>
      </c>
      <c r="Y186" s="319">
        <v>640</v>
      </c>
    </row>
    <row r="187" spans="1:25" x14ac:dyDescent="0.2">
      <c r="A187" s="19" t="s">
        <v>429</v>
      </c>
      <c r="E187" s="3"/>
      <c r="F187" s="116">
        <v>181.50000000000003</v>
      </c>
      <c r="G187" s="116">
        <v>200</v>
      </c>
      <c r="I187" s="50">
        <f>+G187*1.14</f>
        <v>227.99999999999997</v>
      </c>
      <c r="J187" s="50"/>
      <c r="K187" s="18"/>
      <c r="S187" s="222">
        <v>228</v>
      </c>
      <c r="T187" s="156">
        <v>245</v>
      </c>
      <c r="U187" s="156">
        <v>260</v>
      </c>
      <c r="V187" s="222">
        <v>275</v>
      </c>
      <c r="W187" s="156">
        <v>290</v>
      </c>
      <c r="X187" s="159">
        <v>300</v>
      </c>
      <c r="Y187" s="319">
        <v>315</v>
      </c>
    </row>
    <row r="188" spans="1:25" x14ac:dyDescent="0.2">
      <c r="A188" s="19" t="s">
        <v>37</v>
      </c>
      <c r="E188" s="3"/>
      <c r="F188" s="116">
        <v>72.600000000000009</v>
      </c>
      <c r="G188" s="116">
        <v>80</v>
      </c>
      <c r="I188" s="50">
        <f>+G188*1.14</f>
        <v>91.199999999999989</v>
      </c>
      <c r="J188" s="50"/>
      <c r="K188" s="18"/>
      <c r="S188" s="222">
        <v>91</v>
      </c>
      <c r="T188" s="156">
        <v>98</v>
      </c>
      <c r="U188" s="156">
        <v>105</v>
      </c>
      <c r="V188" s="222">
        <v>110</v>
      </c>
      <c r="W188" s="156">
        <v>115</v>
      </c>
      <c r="X188" s="159">
        <v>120</v>
      </c>
      <c r="Y188" s="319">
        <v>125</v>
      </c>
    </row>
    <row r="189" spans="1:25" x14ac:dyDescent="0.2">
      <c r="A189" s="20" t="s">
        <v>175</v>
      </c>
      <c r="E189" s="3"/>
      <c r="F189" s="116">
        <v>43.56</v>
      </c>
      <c r="G189" s="116">
        <v>50</v>
      </c>
      <c r="I189" s="50">
        <f>+G189*1.14</f>
        <v>56.999999999999993</v>
      </c>
      <c r="J189" s="50"/>
      <c r="K189" s="18"/>
      <c r="S189" s="222">
        <v>57</v>
      </c>
      <c r="T189" s="156">
        <v>61</v>
      </c>
      <c r="U189" s="156">
        <v>65</v>
      </c>
      <c r="V189" s="222">
        <v>69</v>
      </c>
      <c r="W189" s="156">
        <v>75</v>
      </c>
      <c r="X189" s="159">
        <v>78</v>
      </c>
      <c r="Y189" s="319">
        <v>85</v>
      </c>
    </row>
    <row r="190" spans="1:25" x14ac:dyDescent="0.2">
      <c r="A190" s="20"/>
      <c r="E190" s="3"/>
      <c r="F190" s="28"/>
      <c r="G190" s="28"/>
      <c r="I190" s="50"/>
      <c r="J190" s="50"/>
      <c r="K190" s="18"/>
      <c r="S190" s="158"/>
      <c r="T190" s="163"/>
      <c r="U190" s="163"/>
      <c r="V190" s="158"/>
      <c r="W190" s="163"/>
      <c r="X190" s="28"/>
      <c r="Y190" s="310"/>
    </row>
    <row r="191" spans="1:25" x14ac:dyDescent="0.2">
      <c r="A191" s="17" t="s">
        <v>158</v>
      </c>
      <c r="E191" s="15"/>
      <c r="F191" s="46"/>
      <c r="G191" s="47"/>
      <c r="I191" s="50"/>
      <c r="J191" s="50"/>
      <c r="K191" s="18"/>
      <c r="S191" s="242"/>
      <c r="T191" s="161"/>
      <c r="U191" s="161"/>
      <c r="V191" s="242"/>
      <c r="W191" s="161"/>
      <c r="X191" s="47"/>
      <c r="Y191" s="310"/>
    </row>
    <row r="192" spans="1:25" x14ac:dyDescent="0.2">
      <c r="A192" s="20" t="s">
        <v>436</v>
      </c>
      <c r="E192" s="15"/>
      <c r="F192" s="116">
        <v>49.500000000000007</v>
      </c>
      <c r="G192" s="116">
        <v>54.45</v>
      </c>
      <c r="I192" s="51">
        <f>+G192*1.14</f>
        <v>62.073</v>
      </c>
      <c r="J192" s="51"/>
      <c r="K192" s="18"/>
      <c r="S192" s="222">
        <v>62</v>
      </c>
      <c r="T192" s="156">
        <v>66</v>
      </c>
      <c r="U192" s="156">
        <v>70</v>
      </c>
      <c r="V192" s="222">
        <v>74</v>
      </c>
      <c r="W192" s="156">
        <v>80</v>
      </c>
      <c r="X192" s="159">
        <v>84</v>
      </c>
      <c r="Y192" s="319">
        <v>90</v>
      </c>
    </row>
    <row r="193" spans="1:25" x14ac:dyDescent="0.2">
      <c r="A193" s="20" t="s">
        <v>191</v>
      </c>
      <c r="C193" t="s">
        <v>38</v>
      </c>
      <c r="E193" s="15"/>
      <c r="F193" s="116">
        <v>200.20000000000002</v>
      </c>
      <c r="G193" s="116">
        <v>220.22</v>
      </c>
      <c r="I193" s="51">
        <f>+G193*1.14</f>
        <v>251.05079999999998</v>
      </c>
      <c r="J193" s="51"/>
      <c r="K193" s="18"/>
      <c r="S193" s="222">
        <v>323</v>
      </c>
      <c r="T193" s="156">
        <v>345</v>
      </c>
      <c r="U193" s="156">
        <v>365</v>
      </c>
      <c r="V193" s="222">
        <v>387</v>
      </c>
      <c r="W193" s="156">
        <v>405</v>
      </c>
      <c r="X193" s="159">
        <v>420</v>
      </c>
      <c r="Y193" s="319">
        <v>440</v>
      </c>
    </row>
    <row r="194" spans="1:25" x14ac:dyDescent="0.2">
      <c r="A194" s="20" t="s">
        <v>191</v>
      </c>
      <c r="C194" s="2" t="s">
        <v>176</v>
      </c>
      <c r="E194" s="3"/>
      <c r="F194" s="116">
        <v>99.000000000000014</v>
      </c>
      <c r="G194" s="116">
        <v>108.9</v>
      </c>
      <c r="I194" s="51">
        <f>+G194*1.14</f>
        <v>124.146</v>
      </c>
      <c r="J194" s="51"/>
      <c r="K194" s="18"/>
      <c r="S194" s="222">
        <v>108</v>
      </c>
      <c r="T194" s="156">
        <v>115</v>
      </c>
      <c r="U194" s="156">
        <v>122</v>
      </c>
      <c r="V194" s="222">
        <v>130</v>
      </c>
      <c r="W194" s="197">
        <v>136</v>
      </c>
      <c r="X194" s="236">
        <v>140</v>
      </c>
      <c r="Y194" s="319">
        <v>150</v>
      </c>
    </row>
    <row r="195" spans="1:25" x14ac:dyDescent="0.2">
      <c r="A195" s="19"/>
      <c r="E195" s="4"/>
      <c r="F195" s="123"/>
      <c r="G195" s="116"/>
      <c r="I195" s="51"/>
      <c r="J195" s="51"/>
      <c r="K195" s="18"/>
      <c r="S195" s="222"/>
      <c r="T195" s="260"/>
      <c r="U195" s="223"/>
      <c r="V195" s="260"/>
      <c r="W195" s="223"/>
      <c r="X195" s="260"/>
      <c r="Y195" s="310"/>
    </row>
    <row r="196" spans="1:25" x14ac:dyDescent="0.2">
      <c r="A196" s="17" t="s">
        <v>74</v>
      </c>
      <c r="E196" s="15"/>
      <c r="F196" s="28"/>
      <c r="G196" s="28"/>
      <c r="I196" s="50"/>
      <c r="J196" s="50"/>
      <c r="K196" s="18"/>
      <c r="S196" s="158"/>
      <c r="T196" s="261"/>
      <c r="U196" s="259"/>
      <c r="V196" s="261"/>
      <c r="W196" s="259"/>
      <c r="X196" s="261"/>
      <c r="Y196" s="310"/>
    </row>
    <row r="197" spans="1:25" x14ac:dyDescent="0.2">
      <c r="A197" s="19" t="s">
        <v>430</v>
      </c>
      <c r="E197" s="3"/>
      <c r="F197" s="116">
        <v>363.00000000000006</v>
      </c>
      <c r="G197" s="116">
        <f>+G186</f>
        <v>400</v>
      </c>
      <c r="I197" s="50">
        <f t="shared" ref="I197:I200" si="43">+G197*1.14</f>
        <v>455.99999999999994</v>
      </c>
      <c r="J197" s="50"/>
      <c r="K197" s="18"/>
      <c r="S197" s="222">
        <v>460</v>
      </c>
      <c r="T197" s="259">
        <v>495</v>
      </c>
      <c r="U197" s="259">
        <v>525</v>
      </c>
      <c r="V197" s="261">
        <v>560</v>
      </c>
      <c r="W197" s="156">
        <v>590</v>
      </c>
      <c r="X197" s="159">
        <v>610</v>
      </c>
      <c r="Y197" s="319">
        <v>640</v>
      </c>
    </row>
    <row r="198" spans="1:25" x14ac:dyDescent="0.2">
      <c r="A198" s="19" t="s">
        <v>39</v>
      </c>
      <c r="E198" s="3"/>
      <c r="F198" s="116">
        <v>133.10000000000002</v>
      </c>
      <c r="G198" s="116">
        <v>150</v>
      </c>
      <c r="I198" s="50">
        <f t="shared" si="43"/>
        <v>170.99999999999997</v>
      </c>
      <c r="J198" s="50"/>
      <c r="K198" s="18"/>
      <c r="S198" s="222">
        <v>171</v>
      </c>
      <c r="T198" s="156">
        <v>183</v>
      </c>
      <c r="U198" s="156">
        <v>195</v>
      </c>
      <c r="V198" s="222">
        <v>230</v>
      </c>
      <c r="W198" s="156">
        <v>240</v>
      </c>
      <c r="X198" s="159">
        <v>250</v>
      </c>
      <c r="Y198" s="319">
        <v>260</v>
      </c>
    </row>
    <row r="199" spans="1:25" x14ac:dyDescent="0.2">
      <c r="A199" s="19" t="s">
        <v>132</v>
      </c>
      <c r="E199" s="3"/>
      <c r="F199" s="116">
        <v>102.85000000000002</v>
      </c>
      <c r="G199" s="116">
        <v>115</v>
      </c>
      <c r="I199" s="50">
        <f t="shared" si="43"/>
        <v>131.1</v>
      </c>
      <c r="J199" s="50"/>
      <c r="K199" s="18"/>
      <c r="S199" s="222">
        <v>131</v>
      </c>
      <c r="T199" s="156">
        <v>140</v>
      </c>
      <c r="U199" s="156">
        <v>150</v>
      </c>
      <c r="V199" s="222">
        <v>400</v>
      </c>
      <c r="W199" s="156">
        <v>420</v>
      </c>
      <c r="X199" s="159">
        <v>440</v>
      </c>
      <c r="Y199" s="319">
        <v>460</v>
      </c>
    </row>
    <row r="200" spans="1:25" x14ac:dyDescent="0.2">
      <c r="A200" s="19" t="s">
        <v>40</v>
      </c>
      <c r="E200" s="3"/>
      <c r="F200" s="116">
        <v>90.750000000000014</v>
      </c>
      <c r="G200" s="116">
        <v>100</v>
      </c>
      <c r="I200" s="50">
        <f t="shared" si="43"/>
        <v>113.99999999999999</v>
      </c>
      <c r="J200" s="50"/>
      <c r="K200" s="18"/>
      <c r="S200" s="222">
        <v>114</v>
      </c>
      <c r="T200" s="156">
        <v>122</v>
      </c>
      <c r="U200" s="156">
        <v>130</v>
      </c>
      <c r="V200" s="222">
        <v>140</v>
      </c>
      <c r="W200" s="156">
        <v>148</v>
      </c>
      <c r="X200" s="159">
        <v>155</v>
      </c>
      <c r="Y200" s="319">
        <v>160</v>
      </c>
    </row>
    <row r="201" spans="1:25" ht="15" customHeight="1" thickBot="1" x14ac:dyDescent="0.25">
      <c r="A201" s="21"/>
      <c r="B201" s="22"/>
      <c r="C201" s="22"/>
      <c r="D201" s="22"/>
      <c r="E201" s="24"/>
      <c r="F201" s="62"/>
      <c r="G201" s="42"/>
      <c r="H201" s="22"/>
      <c r="I201" s="52"/>
      <c r="J201" s="52"/>
      <c r="K201" s="23"/>
      <c r="L201" s="22"/>
      <c r="M201" s="22"/>
      <c r="N201" s="22"/>
      <c r="O201" s="22"/>
      <c r="P201" s="22"/>
      <c r="Q201" s="22"/>
      <c r="R201" s="22"/>
      <c r="S201" s="249"/>
      <c r="T201" s="209"/>
      <c r="U201" s="209"/>
      <c r="V201" s="249"/>
      <c r="W201" s="209"/>
      <c r="X201" s="42"/>
      <c r="Y201" s="326"/>
    </row>
    <row r="202" spans="1:25" ht="15" customHeight="1" thickBot="1" x14ac:dyDescent="0.25">
      <c r="A202" s="69"/>
      <c r="B202" s="70"/>
      <c r="C202" s="70"/>
      <c r="D202" s="70"/>
      <c r="E202" s="71"/>
      <c r="F202" s="72"/>
      <c r="G202" s="73"/>
      <c r="H202" s="70"/>
      <c r="I202" s="74"/>
      <c r="J202" s="74"/>
      <c r="K202" s="75"/>
      <c r="L202" s="70"/>
      <c r="M202" s="30"/>
      <c r="N202" s="30"/>
      <c r="O202" s="30"/>
      <c r="P202" s="30"/>
      <c r="Q202" s="30"/>
      <c r="R202" s="30"/>
      <c r="S202" s="250"/>
      <c r="T202" s="210"/>
      <c r="U202" s="210"/>
      <c r="V202" s="250"/>
      <c r="W202" s="210"/>
      <c r="X202" s="73"/>
      <c r="Y202" s="318"/>
    </row>
    <row r="203" spans="1:25" ht="13.5" thickBot="1" x14ac:dyDescent="0.25">
      <c r="A203" s="19"/>
      <c r="B203" s="7"/>
      <c r="C203" s="7"/>
      <c r="D203" s="7"/>
      <c r="E203" s="8"/>
      <c r="F203" s="64" t="str">
        <f t="shared" ref="F203:X203" si="44">+F127</f>
        <v>2013/2014</v>
      </c>
      <c r="G203" s="110" t="str">
        <f t="shared" si="44"/>
        <v>2014/2015</v>
      </c>
      <c r="H203" s="34">
        <f t="shared" si="44"/>
        <v>0</v>
      </c>
      <c r="I203" s="133" t="str">
        <f t="shared" si="44"/>
        <v>Btw Ingesluit</v>
      </c>
      <c r="J203" s="64">
        <f t="shared" si="44"/>
        <v>0</v>
      </c>
      <c r="K203" s="64">
        <f t="shared" si="44"/>
        <v>0</v>
      </c>
      <c r="L203" s="64">
        <f t="shared" si="44"/>
        <v>0</v>
      </c>
      <c r="M203" s="64">
        <f t="shared" si="44"/>
        <v>7</v>
      </c>
      <c r="N203" s="64">
        <f t="shared" si="44"/>
        <v>0</v>
      </c>
      <c r="O203" s="64">
        <f t="shared" si="44"/>
        <v>0</v>
      </c>
      <c r="P203" s="64">
        <f t="shared" si="44"/>
        <v>0</v>
      </c>
      <c r="Q203" s="64">
        <f t="shared" si="44"/>
        <v>0</v>
      </c>
      <c r="R203" s="64">
        <f t="shared" si="44"/>
        <v>0</v>
      </c>
      <c r="S203" s="64" t="str">
        <f t="shared" si="44"/>
        <v>2016/2017</v>
      </c>
      <c r="T203" s="110" t="str">
        <f t="shared" si="44"/>
        <v>2017/2018</v>
      </c>
      <c r="U203" s="110" t="str">
        <f t="shared" si="44"/>
        <v>2018/2019</v>
      </c>
      <c r="V203" s="64" t="str">
        <f t="shared" si="44"/>
        <v>2019/2020</v>
      </c>
      <c r="W203" s="110" t="str">
        <f t="shared" si="44"/>
        <v>2020/2021</v>
      </c>
      <c r="X203" s="64" t="str">
        <f t="shared" si="44"/>
        <v>2021/2022</v>
      </c>
      <c r="Y203" s="308" t="s">
        <v>447</v>
      </c>
    </row>
    <row r="204" spans="1:25" x14ac:dyDescent="0.2">
      <c r="A204" s="17" t="s">
        <v>159</v>
      </c>
      <c r="B204" s="7"/>
      <c r="C204" s="7"/>
      <c r="D204" s="7"/>
      <c r="E204" s="8"/>
      <c r="F204" s="34"/>
      <c r="G204" s="92"/>
      <c r="H204" s="7"/>
      <c r="I204" s="55"/>
      <c r="J204" s="55"/>
      <c r="K204" s="63"/>
      <c r="L204" s="7"/>
      <c r="S204" s="251"/>
      <c r="T204" s="211"/>
      <c r="U204" s="211"/>
      <c r="V204" s="356"/>
      <c r="W204" s="359">
        <v>4.4999999999999998E-2</v>
      </c>
      <c r="X204" s="345">
        <v>4.4999999999999998E-2</v>
      </c>
      <c r="Y204" s="329">
        <v>4.8000000000000001E-2</v>
      </c>
    </row>
    <row r="205" spans="1:25" x14ac:dyDescent="0.2">
      <c r="A205" s="17"/>
      <c r="B205" s="7"/>
      <c r="C205" s="7"/>
      <c r="D205" s="7"/>
      <c r="E205" s="8"/>
      <c r="F205" s="34"/>
      <c r="G205" s="37"/>
      <c r="H205" s="7"/>
      <c r="I205" s="55"/>
      <c r="J205" s="55"/>
      <c r="K205" s="63"/>
      <c r="L205" s="7"/>
      <c r="S205" s="252"/>
      <c r="T205" s="165"/>
      <c r="U205" s="165"/>
      <c r="V205" s="252"/>
      <c r="W205" s="165"/>
      <c r="X205" s="37"/>
      <c r="Y205" s="310"/>
    </row>
    <row r="206" spans="1:25" x14ac:dyDescent="0.2">
      <c r="A206" s="17" t="s">
        <v>379</v>
      </c>
      <c r="B206" s="7"/>
      <c r="C206" s="7"/>
      <c r="D206" s="7"/>
      <c r="E206" s="8"/>
      <c r="F206" s="34"/>
      <c r="G206" s="37"/>
      <c r="H206" s="7"/>
      <c r="I206" s="55"/>
      <c r="J206" s="55"/>
      <c r="K206" s="63"/>
      <c r="L206" s="7"/>
      <c r="S206" s="252"/>
      <c r="T206" s="165"/>
      <c r="U206" s="165"/>
      <c r="V206" s="252"/>
      <c r="W206" s="360"/>
      <c r="X206" s="252"/>
      <c r="Y206" s="310"/>
    </row>
    <row r="207" spans="1:25" x14ac:dyDescent="0.2">
      <c r="A207" s="20" t="s">
        <v>133</v>
      </c>
      <c r="B207" s="7"/>
      <c r="C207" s="7"/>
      <c r="D207" s="7"/>
      <c r="E207" s="8"/>
      <c r="F207" s="122"/>
      <c r="G207" s="124">
        <v>100</v>
      </c>
      <c r="H207" s="7"/>
      <c r="I207" s="78">
        <f t="shared" ref="I207:I208" si="45">+G207*1.14</f>
        <v>113.99999999999999</v>
      </c>
      <c r="J207" s="78"/>
      <c r="K207" s="63"/>
      <c r="L207" s="7"/>
      <c r="S207" s="236">
        <v>114.05600000000001</v>
      </c>
      <c r="T207" s="156">
        <v>122</v>
      </c>
      <c r="U207" s="156">
        <v>130</v>
      </c>
      <c r="V207" s="156">
        <v>138</v>
      </c>
      <c r="W207" s="156">
        <v>145</v>
      </c>
      <c r="X207" s="222">
        <v>150</v>
      </c>
      <c r="Y207" s="319">
        <v>160</v>
      </c>
    </row>
    <row r="208" spans="1:25" x14ac:dyDescent="0.2">
      <c r="A208" s="20" t="s">
        <v>134</v>
      </c>
      <c r="B208" s="7"/>
      <c r="C208" s="7"/>
      <c r="D208" s="7"/>
      <c r="E208" s="8"/>
      <c r="F208" s="122"/>
      <c r="G208" s="124">
        <v>4.5</v>
      </c>
      <c r="H208" s="7"/>
      <c r="I208" s="78">
        <f t="shared" si="45"/>
        <v>5.13</v>
      </c>
      <c r="J208" s="78"/>
      <c r="K208" s="63"/>
      <c r="L208" s="7"/>
      <c r="S208" s="236">
        <v>5.1325199999999995</v>
      </c>
      <c r="T208" s="156">
        <v>5.5</v>
      </c>
      <c r="U208" s="156">
        <f>+T208*1.06</f>
        <v>5.83</v>
      </c>
      <c r="V208" s="156">
        <f>+U208*1.06</f>
        <v>6.1798000000000002</v>
      </c>
      <c r="W208" s="156">
        <f>+V208*1.045</f>
        <v>6.457891</v>
      </c>
      <c r="X208" s="222">
        <f>+W208*1.045</f>
        <v>6.7484960949999993</v>
      </c>
      <c r="Y208" s="319">
        <v>7</v>
      </c>
    </row>
    <row r="209" spans="1:25" x14ac:dyDescent="0.2">
      <c r="A209" s="20" t="s">
        <v>434</v>
      </c>
      <c r="B209" s="7"/>
      <c r="C209" s="7"/>
      <c r="D209" s="7"/>
      <c r="E209" s="8"/>
      <c r="F209" s="122"/>
      <c r="G209" s="124"/>
      <c r="H209" s="7"/>
      <c r="I209" s="78"/>
      <c r="J209" s="78"/>
      <c r="K209" s="63"/>
      <c r="L209" s="7"/>
      <c r="S209" s="236">
        <v>350</v>
      </c>
      <c r="T209" s="156">
        <v>375</v>
      </c>
      <c r="U209" s="156">
        <v>400</v>
      </c>
      <c r="V209" s="156">
        <v>450</v>
      </c>
      <c r="W209" s="156">
        <v>480</v>
      </c>
      <c r="X209" s="222">
        <v>500</v>
      </c>
      <c r="Y209" s="319">
        <v>525</v>
      </c>
    </row>
    <row r="210" spans="1:25" x14ac:dyDescent="0.2">
      <c r="A210" s="17"/>
      <c r="B210" s="7"/>
      <c r="C210" s="7"/>
      <c r="D210" s="7"/>
      <c r="E210" s="8"/>
      <c r="F210" s="45"/>
      <c r="G210" s="41"/>
      <c r="H210" s="7"/>
      <c r="I210" s="79"/>
      <c r="J210" s="79"/>
      <c r="K210" s="63"/>
      <c r="L210" s="7"/>
      <c r="S210" s="253"/>
      <c r="T210" s="164"/>
      <c r="U210" s="164"/>
      <c r="V210" s="164"/>
      <c r="W210" s="164"/>
      <c r="X210" s="253"/>
      <c r="Y210" s="310"/>
    </row>
    <row r="211" spans="1:25" x14ac:dyDescent="0.2">
      <c r="A211" s="17" t="s">
        <v>137</v>
      </c>
      <c r="B211" s="7"/>
      <c r="C211" s="7"/>
      <c r="D211" s="7"/>
      <c r="E211" s="8"/>
      <c r="F211" s="76"/>
      <c r="G211" s="76"/>
      <c r="H211" s="7"/>
      <c r="I211" s="79"/>
      <c r="J211" s="79"/>
      <c r="K211" s="63"/>
      <c r="L211" s="7"/>
      <c r="S211" s="254"/>
      <c r="T211" s="164"/>
      <c r="U211" s="166"/>
      <c r="V211" s="166"/>
      <c r="W211" s="166"/>
      <c r="X211" s="254"/>
      <c r="Y211" s="310"/>
    </row>
    <row r="212" spans="1:25" x14ac:dyDescent="0.2">
      <c r="A212" s="20" t="s">
        <v>26</v>
      </c>
      <c r="B212" s="2"/>
      <c r="C212" s="7"/>
      <c r="D212" s="7"/>
      <c r="E212" s="65"/>
      <c r="F212" s="124">
        <v>13.310000000000002</v>
      </c>
      <c r="G212" s="124">
        <v>14.64</v>
      </c>
      <c r="H212" s="7"/>
      <c r="I212" s="78">
        <f t="shared" ref="I212:I214" si="46">+G212*1.14</f>
        <v>16.689599999999999</v>
      </c>
      <c r="J212" s="78"/>
      <c r="K212" s="63"/>
      <c r="L212" s="7"/>
      <c r="S212" s="236">
        <v>16.697798400000003</v>
      </c>
      <c r="T212" s="156">
        <v>17.899999999999999</v>
      </c>
      <c r="U212" s="156">
        <v>18.899999999999999</v>
      </c>
      <c r="V212" s="156">
        <v>18.899999999999999</v>
      </c>
      <c r="W212" s="156">
        <v>18.899999999999999</v>
      </c>
      <c r="X212" s="222">
        <v>18.899999999999999</v>
      </c>
      <c r="Y212" s="319">
        <v>19.8</v>
      </c>
    </row>
    <row r="213" spans="1:25" x14ac:dyDescent="0.2">
      <c r="A213" s="20" t="s">
        <v>27</v>
      </c>
      <c r="B213" s="2"/>
      <c r="C213" s="7"/>
      <c r="D213" s="7"/>
      <c r="E213" s="65"/>
      <c r="F213" s="124">
        <v>5.142500000000001</v>
      </c>
      <c r="G213" s="124">
        <v>5.66</v>
      </c>
      <c r="H213" s="7"/>
      <c r="I213" s="78">
        <f t="shared" si="46"/>
        <v>6.4523999999999999</v>
      </c>
      <c r="J213" s="78"/>
      <c r="K213" s="63"/>
      <c r="L213" s="7"/>
      <c r="S213" s="236">
        <v>6.4555696000000005</v>
      </c>
      <c r="T213" s="156">
        <v>6.9</v>
      </c>
      <c r="U213" s="156">
        <v>7.3</v>
      </c>
      <c r="V213" s="156">
        <v>7.3</v>
      </c>
      <c r="W213" s="156">
        <v>7.3</v>
      </c>
      <c r="X213" s="159">
        <v>7.3</v>
      </c>
      <c r="Y213" s="319">
        <f t="shared" ref="Y213:Y214" si="47">+X213*1.048</f>
        <v>7.6504000000000003</v>
      </c>
    </row>
    <row r="214" spans="1:25" x14ac:dyDescent="0.2">
      <c r="A214" s="20" t="s">
        <v>28</v>
      </c>
      <c r="B214" s="2"/>
      <c r="C214" s="7"/>
      <c r="D214" s="7"/>
      <c r="E214" s="65"/>
      <c r="F214" s="124">
        <v>5.142500000000001</v>
      </c>
      <c r="G214" s="124">
        <v>5.66</v>
      </c>
      <c r="H214" s="7"/>
      <c r="I214" s="78">
        <f t="shared" si="46"/>
        <v>6.4523999999999999</v>
      </c>
      <c r="J214" s="78"/>
      <c r="K214" s="63"/>
      <c r="L214" s="7"/>
      <c r="S214" s="236">
        <v>6.4555696000000005</v>
      </c>
      <c r="T214" s="156">
        <v>6.9</v>
      </c>
      <c r="U214" s="156">
        <v>7.3</v>
      </c>
      <c r="V214" s="156">
        <v>7.3</v>
      </c>
      <c r="W214" s="156">
        <v>7.3</v>
      </c>
      <c r="X214" s="159">
        <v>7.3</v>
      </c>
      <c r="Y214" s="319">
        <f t="shared" si="47"/>
        <v>7.6504000000000003</v>
      </c>
    </row>
    <row r="215" spans="1:25" x14ac:dyDescent="0.2">
      <c r="A215" s="17"/>
      <c r="B215" s="7"/>
      <c r="C215" s="7"/>
      <c r="D215" s="7"/>
      <c r="E215" s="8"/>
      <c r="F215" s="45"/>
      <c r="G215" s="41"/>
      <c r="H215" s="7"/>
      <c r="I215" s="79"/>
      <c r="J215" s="79"/>
      <c r="K215" s="63"/>
      <c r="L215" s="7"/>
      <c r="S215" s="253"/>
      <c r="T215" s="164"/>
      <c r="U215" s="164"/>
      <c r="V215" s="164"/>
      <c r="W215" s="164"/>
      <c r="X215" s="41"/>
      <c r="Y215" s="310"/>
    </row>
    <row r="216" spans="1:25" x14ac:dyDescent="0.2">
      <c r="A216" s="17" t="s">
        <v>138</v>
      </c>
      <c r="B216" s="7"/>
      <c r="C216" s="7"/>
      <c r="D216" s="7"/>
      <c r="E216" s="8"/>
      <c r="F216" s="45"/>
      <c r="G216" s="77"/>
      <c r="H216" s="7"/>
      <c r="I216" s="79"/>
      <c r="J216" s="79"/>
      <c r="K216" s="63"/>
      <c r="L216" s="7"/>
      <c r="S216" s="255"/>
      <c r="T216" s="212"/>
      <c r="U216" s="212"/>
      <c r="V216" s="212"/>
      <c r="W216" s="212"/>
      <c r="X216" s="77"/>
      <c r="Y216" s="310"/>
    </row>
    <row r="217" spans="1:25" x14ac:dyDescent="0.2">
      <c r="A217" s="20" t="s">
        <v>29</v>
      </c>
      <c r="B217" s="7"/>
      <c r="C217" s="7"/>
      <c r="D217" s="7"/>
      <c r="E217" s="65"/>
      <c r="F217" s="124">
        <v>4.2350000000000003</v>
      </c>
      <c r="G217" s="124">
        <v>4.66</v>
      </c>
      <c r="H217" s="7"/>
      <c r="I217" s="78">
        <f t="shared" ref="I217:I218" si="48">+G217*1.14</f>
        <v>5.3123999999999993</v>
      </c>
      <c r="J217" s="78"/>
      <c r="K217" s="63"/>
      <c r="L217" s="7"/>
      <c r="S217" s="236">
        <v>5.3150096000000007</v>
      </c>
      <c r="T217" s="156">
        <v>5.7</v>
      </c>
      <c r="U217" s="156">
        <v>6</v>
      </c>
      <c r="V217" s="156">
        <v>6</v>
      </c>
      <c r="W217" s="156">
        <v>6</v>
      </c>
      <c r="X217" s="159">
        <v>6</v>
      </c>
      <c r="Y217" s="314">
        <v>6</v>
      </c>
    </row>
    <row r="218" spans="1:25" x14ac:dyDescent="0.2">
      <c r="A218" s="20" t="s">
        <v>30</v>
      </c>
      <c r="B218" s="7"/>
      <c r="C218" s="7"/>
      <c r="D218" s="7"/>
      <c r="E218" s="65"/>
      <c r="F218" s="124">
        <v>6.6550000000000002</v>
      </c>
      <c r="G218" s="124">
        <v>7.32</v>
      </c>
      <c r="H218" s="7"/>
      <c r="I218" s="78">
        <f t="shared" si="48"/>
        <v>8.3447999999999993</v>
      </c>
      <c r="J218" s="78"/>
      <c r="K218" s="63"/>
      <c r="L218" s="7"/>
      <c r="S218" s="236">
        <v>8.3488992000000017</v>
      </c>
      <c r="T218" s="156">
        <v>8.9499999999999993</v>
      </c>
      <c r="U218" s="156">
        <v>9.5</v>
      </c>
      <c r="V218" s="156">
        <v>9.5</v>
      </c>
      <c r="W218" s="156">
        <v>9.5</v>
      </c>
      <c r="X218" s="159">
        <v>9.5</v>
      </c>
      <c r="Y218" s="314">
        <v>9.5</v>
      </c>
    </row>
    <row r="219" spans="1:25" x14ac:dyDescent="0.2">
      <c r="A219" s="17"/>
      <c r="B219" s="7"/>
      <c r="C219" s="7"/>
      <c r="D219" s="7"/>
      <c r="E219" s="8"/>
      <c r="F219" s="45"/>
      <c r="G219" s="41"/>
      <c r="H219" s="7"/>
      <c r="I219" s="79"/>
      <c r="J219" s="79"/>
      <c r="K219" s="63"/>
      <c r="L219" s="7"/>
      <c r="S219" s="253"/>
      <c r="T219" s="164"/>
      <c r="U219" s="164"/>
      <c r="V219" s="164"/>
      <c r="W219" s="164"/>
      <c r="X219" s="41"/>
      <c r="Y219" s="310"/>
    </row>
    <row r="220" spans="1:25" x14ac:dyDescent="0.2">
      <c r="A220" s="17" t="s">
        <v>139</v>
      </c>
      <c r="B220" s="7"/>
      <c r="C220" s="7"/>
      <c r="D220" s="7"/>
      <c r="E220" s="8"/>
      <c r="F220" s="45"/>
      <c r="G220" s="77"/>
      <c r="H220" s="7"/>
      <c r="I220" s="79"/>
      <c r="J220" s="79"/>
      <c r="K220" s="63"/>
      <c r="L220" s="7"/>
      <c r="S220" s="255"/>
      <c r="T220" s="212"/>
      <c r="U220" s="212"/>
      <c r="V220" s="212"/>
      <c r="W220" s="212"/>
      <c r="X220" s="77"/>
      <c r="Y220" s="310"/>
    </row>
    <row r="221" spans="1:25" x14ac:dyDescent="0.2">
      <c r="A221" s="20" t="s">
        <v>72</v>
      </c>
      <c r="B221" s="7"/>
      <c r="C221" s="7"/>
      <c r="D221" s="7"/>
      <c r="E221" s="8"/>
      <c r="F221" s="122">
        <v>100</v>
      </c>
      <c r="G221" s="125">
        <v>100</v>
      </c>
      <c r="H221" s="7"/>
      <c r="I221" s="79">
        <f>+G221*1.14</f>
        <v>113.99999999999999</v>
      </c>
      <c r="J221" s="79"/>
      <c r="K221" s="63"/>
      <c r="L221" s="7"/>
      <c r="S221" s="236">
        <v>114</v>
      </c>
      <c r="T221" s="156">
        <v>122</v>
      </c>
      <c r="U221" s="156">
        <v>130</v>
      </c>
      <c r="V221" s="156">
        <v>145</v>
      </c>
      <c r="W221" s="156">
        <v>160</v>
      </c>
      <c r="X221" s="159">
        <v>170</v>
      </c>
      <c r="Y221" s="319">
        <v>180</v>
      </c>
    </row>
    <row r="222" spans="1:25" x14ac:dyDescent="0.2">
      <c r="A222" s="20" t="s">
        <v>71</v>
      </c>
      <c r="B222" s="7"/>
      <c r="C222" s="7"/>
      <c r="D222" s="7"/>
      <c r="E222" s="65"/>
      <c r="F222" s="124">
        <v>100</v>
      </c>
      <c r="G222" s="124">
        <v>100</v>
      </c>
      <c r="H222" s="7"/>
      <c r="I222" s="79">
        <f>+G222*1.14</f>
        <v>113.99999999999999</v>
      </c>
      <c r="J222" s="79"/>
      <c r="K222" s="63"/>
      <c r="L222" s="7"/>
      <c r="S222" s="236">
        <v>114</v>
      </c>
      <c r="T222" s="156">
        <v>122</v>
      </c>
      <c r="U222" s="156">
        <v>130</v>
      </c>
      <c r="V222" s="156">
        <v>145</v>
      </c>
      <c r="W222" s="156">
        <v>160</v>
      </c>
      <c r="X222" s="159">
        <v>170</v>
      </c>
      <c r="Y222" s="319">
        <v>180</v>
      </c>
    </row>
    <row r="223" spans="1:25" x14ac:dyDescent="0.2">
      <c r="A223" s="19"/>
      <c r="E223" s="4"/>
      <c r="F223" s="45"/>
      <c r="G223" s="41"/>
      <c r="I223" s="50"/>
      <c r="J223" s="50"/>
      <c r="K223" s="18"/>
      <c r="S223" s="253"/>
      <c r="T223" s="160"/>
      <c r="U223" s="160"/>
      <c r="V223" s="197"/>
      <c r="W223" s="197"/>
      <c r="X223" s="236"/>
      <c r="Y223" s="313"/>
    </row>
    <row r="224" spans="1:25" x14ac:dyDescent="0.2">
      <c r="A224" s="17" t="s">
        <v>140</v>
      </c>
      <c r="B224" s="7"/>
      <c r="C224" s="7"/>
      <c r="D224" s="7"/>
      <c r="E224" s="8"/>
      <c r="F224" s="46"/>
      <c r="G224" s="47"/>
      <c r="I224" s="50"/>
      <c r="J224" s="50"/>
      <c r="K224" s="18"/>
      <c r="S224" s="242"/>
      <c r="T224" s="161"/>
      <c r="U224" s="161"/>
      <c r="V224" s="335">
        <v>0</v>
      </c>
      <c r="W224" s="335">
        <v>0</v>
      </c>
      <c r="X224" s="338">
        <v>0</v>
      </c>
      <c r="Y224" s="332">
        <v>0</v>
      </c>
    </row>
    <row r="225" spans="1:25" x14ac:dyDescent="0.2">
      <c r="A225" s="20" t="s">
        <v>386</v>
      </c>
      <c r="B225" s="7"/>
      <c r="C225" s="7"/>
      <c r="D225" s="7"/>
      <c r="E225" s="8"/>
      <c r="F225" s="46"/>
      <c r="G225" s="153"/>
      <c r="I225" s="50"/>
      <c r="J225" s="50"/>
      <c r="K225" s="18"/>
      <c r="S225" s="256"/>
      <c r="T225" s="167"/>
      <c r="U225" s="167"/>
      <c r="V225" s="167"/>
      <c r="W225" s="167"/>
      <c r="X225" s="256"/>
      <c r="Y225" s="313"/>
    </row>
    <row r="226" spans="1:25" ht="15.75" customHeight="1" x14ac:dyDescent="0.2">
      <c r="A226" s="20" t="s">
        <v>392</v>
      </c>
      <c r="E226" s="3"/>
      <c r="F226" s="116">
        <v>284.35000000000002</v>
      </c>
      <c r="G226" s="116">
        <v>315</v>
      </c>
      <c r="I226" s="50">
        <f t="shared" ref="I226:I227" si="49">+G226*1.14</f>
        <v>359.09999999999997</v>
      </c>
      <c r="J226" s="50"/>
      <c r="K226" s="18"/>
      <c r="S226" s="236">
        <v>800</v>
      </c>
      <c r="T226" s="156">
        <v>856</v>
      </c>
      <c r="U226" s="156">
        <v>910</v>
      </c>
      <c r="V226" s="156">
        <v>965</v>
      </c>
      <c r="W226" s="156">
        <v>1000</v>
      </c>
      <c r="X226" s="222">
        <v>1000</v>
      </c>
      <c r="Y226" s="314">
        <v>1000</v>
      </c>
    </row>
    <row r="227" spans="1:25" x14ac:dyDescent="0.2">
      <c r="A227" s="19" t="s">
        <v>36</v>
      </c>
      <c r="E227" s="3"/>
      <c r="F227" s="116">
        <v>484.00000000000006</v>
      </c>
      <c r="G227" s="116">
        <v>550</v>
      </c>
      <c r="I227" s="50">
        <f t="shared" si="49"/>
        <v>627</v>
      </c>
      <c r="J227" s="50"/>
      <c r="K227" s="18"/>
      <c r="S227" s="236"/>
      <c r="T227" s="156"/>
      <c r="U227" s="156"/>
      <c r="V227" s="156"/>
      <c r="W227" s="156"/>
      <c r="X227" s="222"/>
      <c r="Y227" s="314"/>
    </row>
    <row r="228" spans="1:25" x14ac:dyDescent="0.2">
      <c r="A228" s="20" t="s">
        <v>185</v>
      </c>
      <c r="E228" s="3"/>
      <c r="F228" s="116"/>
      <c r="G228" s="116"/>
      <c r="I228" s="50"/>
      <c r="J228" s="50"/>
      <c r="K228" s="18"/>
      <c r="S228" s="236">
        <v>2690</v>
      </c>
      <c r="T228" s="156">
        <v>2875</v>
      </c>
      <c r="U228" s="156">
        <v>3050</v>
      </c>
      <c r="V228" s="156">
        <v>3050</v>
      </c>
      <c r="W228" s="156">
        <v>3050</v>
      </c>
      <c r="X228" s="222">
        <v>3050</v>
      </c>
      <c r="Y228" s="314">
        <v>3050</v>
      </c>
    </row>
    <row r="229" spans="1:25" x14ac:dyDescent="0.2">
      <c r="A229" s="19"/>
      <c r="F229" s="28"/>
      <c r="G229" s="28"/>
      <c r="I229" s="50"/>
      <c r="J229" s="50"/>
      <c r="K229" s="18"/>
      <c r="S229" s="158"/>
      <c r="T229" s="163"/>
      <c r="U229" s="163"/>
      <c r="V229" s="156"/>
      <c r="W229" s="156"/>
      <c r="X229" s="222"/>
      <c r="Y229" s="313"/>
    </row>
    <row r="230" spans="1:25" x14ac:dyDescent="0.2">
      <c r="A230" s="17" t="s">
        <v>420</v>
      </c>
      <c r="B230" s="7"/>
      <c r="F230" s="28"/>
      <c r="G230" s="28"/>
      <c r="I230" s="50"/>
      <c r="J230" s="50"/>
      <c r="K230" s="18"/>
      <c r="S230" s="158"/>
      <c r="T230" s="163"/>
      <c r="U230" s="163"/>
      <c r="V230" s="336"/>
      <c r="W230" s="336">
        <v>4.4999999999999998E-2</v>
      </c>
      <c r="X230" s="339">
        <v>4.4999999999999998E-2</v>
      </c>
      <c r="Y230" s="332">
        <v>4.8000000000000001E-2</v>
      </c>
    </row>
    <row r="231" spans="1:25" x14ac:dyDescent="0.2">
      <c r="A231" s="20" t="s">
        <v>469</v>
      </c>
      <c r="B231" s="7"/>
      <c r="F231" s="28"/>
      <c r="G231" s="116"/>
      <c r="I231" s="50"/>
      <c r="J231" s="50"/>
      <c r="K231" s="18"/>
      <c r="S231" s="222"/>
      <c r="T231" s="156"/>
      <c r="U231" s="156"/>
      <c r="V231" s="156"/>
      <c r="W231" s="156"/>
      <c r="X231" s="222"/>
      <c r="Y231" s="313"/>
    </row>
    <row r="232" spans="1:25" x14ac:dyDescent="0.2">
      <c r="A232" s="20" t="s">
        <v>421</v>
      </c>
      <c r="E232" s="13"/>
      <c r="F232" s="116">
        <v>998.25000000000011</v>
      </c>
      <c r="G232" s="116">
        <v>1100</v>
      </c>
      <c r="I232" s="50">
        <f>+G232*1.14</f>
        <v>1254</v>
      </c>
      <c r="J232" s="50"/>
      <c r="K232" s="18"/>
      <c r="S232" s="236"/>
      <c r="T232" s="156"/>
      <c r="U232" s="156"/>
      <c r="V232" s="156"/>
      <c r="W232" s="156"/>
      <c r="X232" s="222"/>
      <c r="Y232" s="313"/>
    </row>
    <row r="233" spans="1:25" x14ac:dyDescent="0.2">
      <c r="A233" s="19" t="s">
        <v>117</v>
      </c>
      <c r="E233" s="13"/>
      <c r="F233" s="124">
        <v>75</v>
      </c>
      <c r="G233" s="116">
        <v>75</v>
      </c>
      <c r="I233" s="50">
        <f t="shared" ref="I233:I234" si="50">+G233*1.14</f>
        <v>85.499999999999986</v>
      </c>
      <c r="J233" s="50"/>
      <c r="K233" s="18"/>
      <c r="S233" s="236">
        <v>85.501999999999995</v>
      </c>
      <c r="T233" s="156">
        <v>91.5</v>
      </c>
      <c r="U233" s="156">
        <v>97</v>
      </c>
      <c r="V233" s="156">
        <v>103</v>
      </c>
      <c r="W233" s="156">
        <v>108</v>
      </c>
      <c r="X233" s="222">
        <v>110</v>
      </c>
      <c r="Y233" s="319">
        <v>115</v>
      </c>
    </row>
    <row r="234" spans="1:25" x14ac:dyDescent="0.2">
      <c r="A234" s="19" t="s">
        <v>470</v>
      </c>
      <c r="F234" s="116">
        <v>35</v>
      </c>
      <c r="G234" s="116">
        <v>35</v>
      </c>
      <c r="I234" s="50">
        <f t="shared" si="50"/>
        <v>39.9</v>
      </c>
      <c r="J234" s="50"/>
      <c r="K234" s="18"/>
      <c r="S234" s="236">
        <v>65.790000000000006</v>
      </c>
      <c r="T234" s="156">
        <v>70</v>
      </c>
      <c r="U234" s="156">
        <v>74.5</v>
      </c>
      <c r="V234" s="156">
        <v>79</v>
      </c>
      <c r="W234" s="156">
        <v>83</v>
      </c>
      <c r="X234" s="222">
        <v>85</v>
      </c>
      <c r="Y234" s="319">
        <v>90</v>
      </c>
    </row>
    <row r="235" spans="1:25" x14ac:dyDescent="0.2">
      <c r="A235" s="19"/>
      <c r="F235" s="28"/>
      <c r="G235" s="28"/>
      <c r="I235" s="50"/>
      <c r="J235" s="50"/>
      <c r="K235" s="18"/>
      <c r="S235" s="253"/>
      <c r="T235" s="164"/>
      <c r="U235" s="164"/>
      <c r="V235" s="197"/>
      <c r="W235" s="197"/>
      <c r="X235" s="236"/>
      <c r="Y235" s="313"/>
    </row>
    <row r="236" spans="1:25" x14ac:dyDescent="0.2">
      <c r="A236" s="17" t="s">
        <v>187</v>
      </c>
      <c r="B236" s="7"/>
      <c r="F236" s="28"/>
      <c r="G236" s="28"/>
      <c r="I236" s="50"/>
      <c r="J236" s="50"/>
      <c r="K236" s="18"/>
      <c r="S236" s="253"/>
      <c r="T236" s="164"/>
      <c r="U236" s="164"/>
      <c r="V236" s="164"/>
      <c r="W236" s="336">
        <v>4.4999999999999998E-2</v>
      </c>
      <c r="X236" s="339">
        <v>4.4999999999999998E-2</v>
      </c>
      <c r="Y236" s="332">
        <v>4.8000000000000001E-2</v>
      </c>
    </row>
    <row r="237" spans="1:25" x14ac:dyDescent="0.2">
      <c r="A237" s="20" t="s">
        <v>186</v>
      </c>
      <c r="F237" s="116"/>
      <c r="G237" s="116"/>
      <c r="I237" s="50"/>
      <c r="J237" s="50"/>
      <c r="K237" s="18"/>
      <c r="S237" s="236">
        <v>1076</v>
      </c>
      <c r="T237" s="156">
        <v>1151</v>
      </c>
      <c r="U237" s="156">
        <v>1220</v>
      </c>
      <c r="V237" s="156">
        <v>1295</v>
      </c>
      <c r="W237" s="156">
        <v>1350</v>
      </c>
      <c r="X237" s="222">
        <v>1400</v>
      </c>
      <c r="Y237" s="319">
        <v>1470</v>
      </c>
    </row>
    <row r="238" spans="1:25" x14ac:dyDescent="0.2">
      <c r="A238" s="20" t="s">
        <v>414</v>
      </c>
      <c r="F238" s="135"/>
      <c r="G238" s="188"/>
      <c r="I238" s="50"/>
      <c r="J238" s="50"/>
      <c r="K238" s="18"/>
      <c r="S238" s="257">
        <v>50</v>
      </c>
      <c r="T238" s="156">
        <v>50</v>
      </c>
      <c r="U238" s="156">
        <v>50</v>
      </c>
      <c r="V238" s="156">
        <v>50</v>
      </c>
      <c r="W238" s="156">
        <v>50</v>
      </c>
      <c r="X238" s="159">
        <v>55</v>
      </c>
      <c r="Y238" s="319">
        <v>60</v>
      </c>
    </row>
    <row r="239" spans="1:25" x14ac:dyDescent="0.2">
      <c r="A239" s="20" t="s">
        <v>188</v>
      </c>
      <c r="F239" s="116"/>
      <c r="G239" s="159"/>
      <c r="I239" s="189"/>
      <c r="J239" s="136"/>
      <c r="K239" s="137"/>
      <c r="L239" s="137"/>
      <c r="M239" s="137"/>
      <c r="N239" s="137"/>
      <c r="O239" s="137"/>
      <c r="P239" s="137"/>
      <c r="Q239" s="137"/>
      <c r="R239" s="206"/>
      <c r="S239" s="236">
        <v>1076</v>
      </c>
      <c r="T239" s="156">
        <v>1151</v>
      </c>
      <c r="U239" s="156">
        <v>1220</v>
      </c>
      <c r="V239" s="156">
        <v>1295</v>
      </c>
      <c r="W239" s="156">
        <v>1350</v>
      </c>
      <c r="X239" s="159">
        <v>1400</v>
      </c>
      <c r="Y239" s="319">
        <v>1470</v>
      </c>
    </row>
    <row r="240" spans="1:25" x14ac:dyDescent="0.2">
      <c r="A240" s="20" t="s">
        <v>189</v>
      </c>
      <c r="F240" s="135"/>
      <c r="G240" s="188"/>
      <c r="I240" s="50"/>
      <c r="J240" s="50"/>
      <c r="S240" s="257">
        <v>108</v>
      </c>
      <c r="T240" s="156">
        <v>116</v>
      </c>
      <c r="U240" s="156">
        <v>123</v>
      </c>
      <c r="V240" s="156">
        <v>130</v>
      </c>
      <c r="W240" s="156">
        <v>135</v>
      </c>
      <c r="X240" s="159">
        <v>140</v>
      </c>
      <c r="Y240" s="319">
        <v>150</v>
      </c>
    </row>
    <row r="241" spans="1:25" x14ac:dyDescent="0.2">
      <c r="A241" s="20" t="s">
        <v>190</v>
      </c>
      <c r="F241" s="116"/>
      <c r="G241" s="159"/>
      <c r="I241" s="189"/>
      <c r="J241" s="136"/>
      <c r="K241" s="137"/>
      <c r="L241" s="137"/>
      <c r="M241" s="137"/>
      <c r="N241" s="137"/>
      <c r="O241" s="137"/>
      <c r="P241" s="137"/>
      <c r="Q241" s="137"/>
      <c r="R241" s="206"/>
      <c r="S241" s="236">
        <v>160</v>
      </c>
      <c r="T241" s="156">
        <v>171</v>
      </c>
      <c r="U241" s="156">
        <v>181</v>
      </c>
      <c r="V241" s="156">
        <v>200</v>
      </c>
      <c r="W241" s="156">
        <v>210</v>
      </c>
      <c r="X241" s="159">
        <v>220</v>
      </c>
      <c r="Y241" s="319">
        <v>230</v>
      </c>
    </row>
    <row r="242" spans="1:25" x14ac:dyDescent="0.2">
      <c r="A242" s="20"/>
      <c r="F242" s="28"/>
      <c r="G242" s="28"/>
      <c r="I242" s="50"/>
      <c r="J242" s="50"/>
      <c r="S242" s="253"/>
      <c r="T242" s="163"/>
      <c r="U242" s="163"/>
      <c r="V242" s="156"/>
      <c r="W242" s="156"/>
      <c r="X242" s="294"/>
      <c r="Y242" s="313"/>
    </row>
    <row r="243" spans="1:25" x14ac:dyDescent="0.2">
      <c r="A243" s="17" t="s">
        <v>387</v>
      </c>
      <c r="F243" s="28"/>
      <c r="G243" s="28"/>
      <c r="I243" s="50"/>
      <c r="J243" s="50"/>
      <c r="S243" s="253"/>
      <c r="T243" s="163"/>
      <c r="U243" s="163"/>
      <c r="V243" s="335">
        <v>0</v>
      </c>
      <c r="W243" s="335">
        <v>0</v>
      </c>
      <c r="X243" s="277">
        <v>0</v>
      </c>
      <c r="Y243" s="334">
        <v>0</v>
      </c>
    </row>
    <row r="244" spans="1:25" x14ac:dyDescent="0.2">
      <c r="A244" s="20" t="s">
        <v>388</v>
      </c>
      <c r="F244" s="28"/>
      <c r="G244" s="159"/>
      <c r="I244" s="50"/>
      <c r="J244" s="50"/>
      <c r="K244" s="18"/>
      <c r="S244" s="236">
        <v>7.02</v>
      </c>
      <c r="T244" s="156">
        <v>7.02</v>
      </c>
      <c r="U244" s="156">
        <v>7</v>
      </c>
      <c r="V244" s="156">
        <v>7</v>
      </c>
      <c r="W244" s="156">
        <v>7</v>
      </c>
      <c r="X244" s="159">
        <v>7</v>
      </c>
      <c r="Y244" s="314">
        <v>7</v>
      </c>
    </row>
    <row r="245" spans="1:25" x14ac:dyDescent="0.2">
      <c r="A245" s="20" t="s">
        <v>389</v>
      </c>
      <c r="F245" s="28"/>
      <c r="G245" s="188"/>
      <c r="I245" s="50"/>
      <c r="J245" s="50"/>
      <c r="K245" s="18"/>
      <c r="S245" s="257">
        <v>4.3899999999999997</v>
      </c>
      <c r="T245" s="156">
        <v>4.3899999999999997</v>
      </c>
      <c r="U245" s="156">
        <v>4.3499999999999996</v>
      </c>
      <c r="V245" s="156">
        <v>4.3499999999999996</v>
      </c>
      <c r="W245" s="156">
        <v>4</v>
      </c>
      <c r="X245" s="222">
        <v>4</v>
      </c>
      <c r="Y245" s="314">
        <v>4</v>
      </c>
    </row>
    <row r="246" spans="1:25" x14ac:dyDescent="0.2">
      <c r="A246" s="20" t="s">
        <v>390</v>
      </c>
      <c r="F246" s="28"/>
      <c r="G246" s="159"/>
      <c r="I246" s="190"/>
      <c r="J246" s="154"/>
      <c r="K246" s="155"/>
      <c r="L246" s="155"/>
      <c r="M246" s="155"/>
      <c r="N246" s="155"/>
      <c r="O246" s="155"/>
      <c r="P246" s="155"/>
      <c r="Q246" s="155"/>
      <c r="R246" s="207"/>
      <c r="S246" s="236">
        <v>21.93</v>
      </c>
      <c r="T246" s="156">
        <v>21.93</v>
      </c>
      <c r="U246" s="156">
        <v>21.93</v>
      </c>
      <c r="V246" s="156">
        <v>21.93</v>
      </c>
      <c r="W246" s="156">
        <v>20</v>
      </c>
      <c r="X246" s="222">
        <v>20</v>
      </c>
      <c r="Y246" s="314">
        <v>20</v>
      </c>
    </row>
    <row r="247" spans="1:25" x14ac:dyDescent="0.2">
      <c r="A247" s="19"/>
      <c r="F247" s="28"/>
      <c r="G247" s="28"/>
      <c r="I247" s="50"/>
      <c r="J247" s="50"/>
      <c r="S247" s="253"/>
      <c r="T247" s="163"/>
      <c r="U247" s="163"/>
      <c r="V247" s="163"/>
      <c r="W247" s="163"/>
      <c r="X247" s="158"/>
      <c r="Y247" s="310"/>
    </row>
    <row r="248" spans="1:25" x14ac:dyDescent="0.2">
      <c r="A248" s="17" t="s">
        <v>166</v>
      </c>
      <c r="F248" s="28"/>
      <c r="G248" s="28"/>
      <c r="I248" s="50"/>
      <c r="J248" s="50"/>
      <c r="K248" s="18"/>
      <c r="S248" s="253"/>
      <c r="T248" s="164"/>
      <c r="U248" s="164"/>
      <c r="V248" s="346"/>
      <c r="W248" s="346"/>
      <c r="X248" s="347"/>
      <c r="Y248" s="341"/>
    </row>
    <row r="249" spans="1:25" x14ac:dyDescent="0.2">
      <c r="A249" s="20" t="s">
        <v>167</v>
      </c>
      <c r="F249" s="28"/>
      <c r="G249" s="28"/>
      <c r="I249" s="50"/>
      <c r="J249" s="50"/>
      <c r="K249" s="18"/>
      <c r="S249" s="253"/>
      <c r="T249" s="164"/>
      <c r="U249" s="164"/>
      <c r="V249" s="335">
        <v>0</v>
      </c>
      <c r="W249" s="335">
        <v>0</v>
      </c>
      <c r="X249" s="277">
        <v>0</v>
      </c>
      <c r="Y249" s="334">
        <v>0</v>
      </c>
    </row>
    <row r="250" spans="1:25" x14ac:dyDescent="0.2">
      <c r="A250" s="20" t="s">
        <v>384</v>
      </c>
      <c r="F250" s="116"/>
      <c r="G250" s="116"/>
      <c r="I250" s="50"/>
      <c r="J250" s="50"/>
      <c r="K250" s="18"/>
      <c r="S250" s="236">
        <v>430</v>
      </c>
      <c r="T250" s="156">
        <v>460</v>
      </c>
      <c r="U250" s="156">
        <v>488</v>
      </c>
      <c r="V250" s="156">
        <v>488</v>
      </c>
      <c r="W250" s="156">
        <v>488</v>
      </c>
      <c r="X250" s="294">
        <v>488</v>
      </c>
      <c r="Y250" s="314">
        <v>488</v>
      </c>
    </row>
    <row r="251" spans="1:25" x14ac:dyDescent="0.2">
      <c r="A251" s="20" t="s">
        <v>384</v>
      </c>
      <c r="C251" s="2" t="s">
        <v>192</v>
      </c>
      <c r="F251" s="116"/>
      <c r="G251" s="116"/>
      <c r="I251" s="50"/>
      <c r="J251" s="50"/>
      <c r="K251" s="18"/>
      <c r="S251" s="236">
        <v>5.3154400000000006</v>
      </c>
      <c r="T251" s="156">
        <v>5.69</v>
      </c>
      <c r="U251" s="156">
        <v>6</v>
      </c>
      <c r="V251" s="156">
        <v>6</v>
      </c>
      <c r="W251" s="156">
        <v>6</v>
      </c>
      <c r="X251" s="294">
        <v>6</v>
      </c>
      <c r="Y251" s="314">
        <v>6</v>
      </c>
    </row>
    <row r="252" spans="1:25" x14ac:dyDescent="0.2">
      <c r="A252" s="20" t="s">
        <v>178</v>
      </c>
      <c r="F252" s="116"/>
      <c r="G252" s="116"/>
      <c r="I252" s="50"/>
      <c r="J252" s="50"/>
      <c r="K252" s="18"/>
      <c r="S252" s="236">
        <v>26.32</v>
      </c>
      <c r="T252" s="156">
        <v>28</v>
      </c>
      <c r="U252" s="156">
        <v>29.7</v>
      </c>
      <c r="V252" s="156">
        <v>10</v>
      </c>
      <c r="W252" s="156">
        <v>10</v>
      </c>
      <c r="X252" s="294">
        <v>10</v>
      </c>
      <c r="Y252" s="314">
        <v>10</v>
      </c>
    </row>
    <row r="253" spans="1:25" x14ac:dyDescent="0.2">
      <c r="A253" s="20" t="s">
        <v>385</v>
      </c>
      <c r="F253" s="28"/>
      <c r="G253" s="116"/>
      <c r="I253" s="50"/>
      <c r="J253" s="50"/>
      <c r="K253" s="18"/>
      <c r="S253" s="236">
        <v>26.32</v>
      </c>
      <c r="T253" s="156">
        <v>28</v>
      </c>
      <c r="U253" s="156">
        <v>29.7</v>
      </c>
      <c r="V253" s="156">
        <v>30</v>
      </c>
      <c r="W253" s="156">
        <v>30</v>
      </c>
      <c r="X253" s="222">
        <v>30</v>
      </c>
      <c r="Y253" s="314">
        <v>30</v>
      </c>
    </row>
    <row r="254" spans="1:25" x14ac:dyDescent="0.2">
      <c r="A254" s="20" t="s">
        <v>465</v>
      </c>
      <c r="F254" s="28"/>
      <c r="G254" s="28"/>
      <c r="I254" s="28"/>
      <c r="J254" s="28"/>
      <c r="S254" s="222"/>
      <c r="T254" s="215"/>
      <c r="U254" s="156">
        <v>200</v>
      </c>
      <c r="V254" s="156">
        <v>250</v>
      </c>
      <c r="W254" s="156">
        <v>250</v>
      </c>
      <c r="X254" s="222">
        <v>250</v>
      </c>
      <c r="Y254" s="314">
        <v>250</v>
      </c>
    </row>
    <row r="255" spans="1:25" x14ac:dyDescent="0.2">
      <c r="A255" s="20" t="s">
        <v>409</v>
      </c>
      <c r="F255" s="28"/>
      <c r="G255" s="28"/>
      <c r="I255" s="28"/>
      <c r="J255" s="28"/>
      <c r="S255" s="222"/>
      <c r="T255" s="215"/>
      <c r="U255" s="156">
        <v>320</v>
      </c>
      <c r="V255" s="156">
        <v>360</v>
      </c>
      <c r="W255" s="156">
        <v>360</v>
      </c>
      <c r="X255" s="222">
        <v>360</v>
      </c>
      <c r="Y255" s="314">
        <v>360</v>
      </c>
    </row>
    <row r="256" spans="1:25" x14ac:dyDescent="0.2">
      <c r="A256" s="20" t="s">
        <v>432</v>
      </c>
      <c r="F256" s="28"/>
      <c r="G256" s="28"/>
      <c r="I256" s="28"/>
      <c r="J256" s="28"/>
      <c r="S256" s="222"/>
      <c r="T256" s="215"/>
      <c r="U256" s="156"/>
      <c r="V256" s="156">
        <v>400</v>
      </c>
      <c r="W256" s="156">
        <v>400</v>
      </c>
      <c r="X256" s="222">
        <v>400</v>
      </c>
      <c r="Y256" s="314">
        <v>400</v>
      </c>
    </row>
    <row r="257" spans="1:25" x14ac:dyDescent="0.2">
      <c r="A257" s="20" t="s">
        <v>410</v>
      </c>
      <c r="F257" s="28"/>
      <c r="G257" s="28"/>
      <c r="I257" s="28"/>
      <c r="J257" s="28"/>
      <c r="S257" s="222"/>
      <c r="T257" s="215"/>
      <c r="U257" s="156">
        <v>320</v>
      </c>
      <c r="V257" s="156">
        <v>360</v>
      </c>
      <c r="W257" s="156">
        <v>360</v>
      </c>
      <c r="X257" s="222">
        <v>360</v>
      </c>
      <c r="Y257" s="314">
        <v>360</v>
      </c>
    </row>
    <row r="258" spans="1:25" x14ac:dyDescent="0.2">
      <c r="A258" s="20" t="s">
        <v>411</v>
      </c>
      <c r="F258" s="28"/>
      <c r="G258" s="28"/>
      <c r="I258" s="28"/>
      <c r="J258" s="28"/>
      <c r="S258" s="222"/>
      <c r="T258" s="215"/>
      <c r="U258" s="156">
        <v>300</v>
      </c>
      <c r="V258" s="156">
        <v>300</v>
      </c>
      <c r="W258" s="156">
        <v>300</v>
      </c>
      <c r="X258" s="222">
        <v>300</v>
      </c>
      <c r="Y258" s="314">
        <v>300</v>
      </c>
    </row>
    <row r="259" spans="1:25" ht="13.5" thickBot="1" x14ac:dyDescent="0.25">
      <c r="A259" s="172" t="s">
        <v>412</v>
      </c>
      <c r="B259" s="22"/>
      <c r="C259" s="22"/>
      <c r="D259" s="22"/>
      <c r="E259" s="22"/>
      <c r="F259" s="42"/>
      <c r="G259" s="42"/>
      <c r="H259" s="22"/>
      <c r="I259" s="42"/>
      <c r="J259" s="42"/>
      <c r="K259" s="22"/>
      <c r="L259" s="22"/>
      <c r="M259" s="22"/>
      <c r="N259" s="22"/>
      <c r="O259" s="22"/>
      <c r="P259" s="22"/>
      <c r="Q259" s="22"/>
      <c r="R259" s="22"/>
      <c r="S259" s="237"/>
      <c r="T259" s="216"/>
      <c r="U259" s="191">
        <v>6</v>
      </c>
      <c r="V259" s="191">
        <v>6</v>
      </c>
      <c r="W259" s="191">
        <v>6</v>
      </c>
      <c r="X259" s="237">
        <v>6</v>
      </c>
      <c r="Y259" s="333">
        <v>6</v>
      </c>
    </row>
    <row r="260" spans="1:25" x14ac:dyDescent="0.2">
      <c r="F260" s="28"/>
      <c r="G260" s="28"/>
      <c r="I260" s="28"/>
      <c r="J260" s="28"/>
      <c r="S260" s="28"/>
    </row>
    <row r="261" spans="1:25" x14ac:dyDescent="0.2">
      <c r="F261" s="28"/>
      <c r="G261" s="28"/>
      <c r="I261" s="28"/>
      <c r="J261" s="28"/>
      <c r="S261" s="28"/>
    </row>
    <row r="262" spans="1:25" x14ac:dyDescent="0.2">
      <c r="F262" s="28"/>
      <c r="G262" s="28"/>
      <c r="I262" s="28"/>
      <c r="J262" s="28"/>
      <c r="S262" s="28"/>
    </row>
    <row r="263" spans="1:25" x14ac:dyDescent="0.2">
      <c r="F263" s="28"/>
      <c r="G263" s="28"/>
      <c r="I263" s="28"/>
      <c r="J263" s="28"/>
      <c r="S263" s="28"/>
    </row>
    <row r="264" spans="1:25" x14ac:dyDescent="0.2">
      <c r="F264" s="28"/>
      <c r="G264" s="28"/>
      <c r="I264" s="28"/>
      <c r="J264" s="28"/>
      <c r="S264" s="28"/>
    </row>
    <row r="265" spans="1:25" x14ac:dyDescent="0.2">
      <c r="F265" s="28"/>
      <c r="G265" s="28"/>
      <c r="I265" s="28"/>
      <c r="J265" s="28"/>
      <c r="S265" s="28"/>
    </row>
    <row r="266" spans="1:25" x14ac:dyDescent="0.2">
      <c r="F266" s="28"/>
      <c r="G266" s="28"/>
      <c r="I266" s="28"/>
      <c r="J266" s="28"/>
      <c r="S266" s="28"/>
    </row>
    <row r="267" spans="1:25" x14ac:dyDescent="0.2">
      <c r="F267" s="28"/>
      <c r="G267" s="28"/>
      <c r="I267" s="28"/>
      <c r="J267" s="28"/>
      <c r="S267" s="28"/>
    </row>
    <row r="268" spans="1:25" x14ac:dyDescent="0.2">
      <c r="F268" s="28"/>
      <c r="G268" s="28"/>
      <c r="I268" s="28"/>
      <c r="J268" s="28"/>
      <c r="S268" s="28"/>
    </row>
    <row r="269" spans="1:25" x14ac:dyDescent="0.2">
      <c r="F269" s="28"/>
      <c r="G269" s="28"/>
      <c r="I269" s="28"/>
      <c r="J269" s="28"/>
      <c r="S269" s="28"/>
    </row>
    <row r="270" spans="1:25" x14ac:dyDescent="0.2">
      <c r="F270" s="28"/>
      <c r="G270" s="28"/>
      <c r="I270" s="28"/>
      <c r="J270" s="28"/>
      <c r="S270" s="28"/>
    </row>
    <row r="271" spans="1:25" x14ac:dyDescent="0.2">
      <c r="F271" s="28"/>
      <c r="G271" s="28"/>
      <c r="I271" s="28"/>
      <c r="J271" s="28"/>
      <c r="S271" s="28"/>
    </row>
    <row r="272" spans="1:25" x14ac:dyDescent="0.2">
      <c r="F272" s="28"/>
      <c r="G272" s="28"/>
      <c r="I272" s="28"/>
      <c r="J272" s="28"/>
      <c r="S272" s="28"/>
    </row>
    <row r="273" spans="6:19" x14ac:dyDescent="0.2">
      <c r="F273" s="28"/>
      <c r="G273" s="28"/>
      <c r="I273" s="28"/>
      <c r="J273" s="28"/>
      <c r="S273" s="28"/>
    </row>
    <row r="274" spans="6:19" x14ac:dyDescent="0.2">
      <c r="F274" s="28"/>
      <c r="G274" s="28"/>
      <c r="I274" s="28"/>
      <c r="J274" s="28"/>
      <c r="S274" s="28"/>
    </row>
    <row r="275" spans="6:19" x14ac:dyDescent="0.2">
      <c r="F275" s="28"/>
      <c r="G275" s="28"/>
      <c r="I275" s="28"/>
      <c r="J275" s="28"/>
      <c r="S275" s="28"/>
    </row>
    <row r="276" spans="6:19" x14ac:dyDescent="0.2">
      <c r="F276" s="28"/>
      <c r="G276" s="28"/>
      <c r="I276" s="28"/>
      <c r="J276" s="28"/>
      <c r="S276" s="28"/>
    </row>
    <row r="277" spans="6:19" x14ac:dyDescent="0.2">
      <c r="F277" s="28"/>
      <c r="G277" s="28"/>
      <c r="I277" s="28"/>
      <c r="J277" s="28"/>
      <c r="S277" s="28"/>
    </row>
    <row r="278" spans="6:19" x14ac:dyDescent="0.2">
      <c r="F278" s="28"/>
      <c r="G278" s="28"/>
      <c r="I278" s="28"/>
      <c r="J278" s="28"/>
      <c r="S278" s="28"/>
    </row>
    <row r="279" spans="6:19" x14ac:dyDescent="0.2">
      <c r="F279" s="28"/>
      <c r="G279" s="28"/>
      <c r="I279" s="48"/>
      <c r="J279" s="48"/>
      <c r="S279" s="28"/>
    </row>
    <row r="280" spans="6:19" x14ac:dyDescent="0.2">
      <c r="F280" s="28"/>
      <c r="G280" s="28"/>
      <c r="I280" s="48"/>
      <c r="J280" s="48"/>
      <c r="S280" s="28"/>
    </row>
    <row r="281" spans="6:19" x14ac:dyDescent="0.2">
      <c r="F281" s="28"/>
      <c r="G281" s="28"/>
      <c r="I281" s="48"/>
      <c r="J281" s="48"/>
      <c r="S281" s="28"/>
    </row>
    <row r="282" spans="6:19" x14ac:dyDescent="0.2">
      <c r="F282" s="28"/>
      <c r="G282" s="28"/>
      <c r="I282" s="48"/>
      <c r="J282" s="48"/>
      <c r="S282" s="28"/>
    </row>
    <row r="283" spans="6:19" x14ac:dyDescent="0.2">
      <c r="F283" s="28"/>
      <c r="G283" s="28"/>
      <c r="I283" s="48"/>
      <c r="J283" s="48"/>
      <c r="S283" s="28"/>
    </row>
    <row r="284" spans="6:19" x14ac:dyDescent="0.2">
      <c r="F284" s="28"/>
      <c r="G284" s="28"/>
      <c r="I284" s="48"/>
      <c r="J284" s="48"/>
      <c r="S284" s="28"/>
    </row>
    <row r="285" spans="6:19" x14ac:dyDescent="0.2">
      <c r="F285" s="28"/>
      <c r="G285" s="28"/>
      <c r="I285"/>
      <c r="J285"/>
      <c r="S285" s="28"/>
    </row>
    <row r="286" spans="6:19" x14ac:dyDescent="0.2">
      <c r="F286" s="28"/>
      <c r="G286" s="28"/>
      <c r="I286"/>
      <c r="J286"/>
      <c r="S286" s="28"/>
    </row>
    <row r="287" spans="6:19" x14ac:dyDescent="0.2">
      <c r="F287" s="28"/>
      <c r="G287" s="28"/>
      <c r="I287"/>
      <c r="J287"/>
      <c r="S287" s="28"/>
    </row>
    <row r="288" spans="6:19" x14ac:dyDescent="0.2">
      <c r="F288" s="28"/>
      <c r="G288" s="28"/>
      <c r="I288"/>
      <c r="J288"/>
      <c r="S288" s="28"/>
    </row>
    <row r="289" spans="6:19" x14ac:dyDescent="0.2">
      <c r="F289" s="28"/>
      <c r="G289" s="28"/>
      <c r="I289"/>
      <c r="J289"/>
      <c r="S289" s="28"/>
    </row>
    <row r="290" spans="6:19" x14ac:dyDescent="0.2">
      <c r="F290" s="28"/>
      <c r="G290" s="28"/>
      <c r="I290"/>
      <c r="J290"/>
      <c r="S290" s="28"/>
    </row>
    <row r="291" spans="6:19" x14ac:dyDescent="0.2">
      <c r="F291" s="28"/>
      <c r="G291" s="28"/>
      <c r="I291"/>
      <c r="J291"/>
      <c r="S291" s="28"/>
    </row>
    <row r="292" spans="6:19" x14ac:dyDescent="0.2">
      <c r="F292" s="28"/>
      <c r="G292" s="28"/>
      <c r="I292"/>
      <c r="J292"/>
      <c r="S292" s="28"/>
    </row>
    <row r="293" spans="6:19" x14ac:dyDescent="0.2">
      <c r="F293" s="28"/>
      <c r="G293" s="28"/>
      <c r="I293"/>
      <c r="J293"/>
      <c r="S293" s="28"/>
    </row>
    <row r="294" spans="6:19" x14ac:dyDescent="0.2">
      <c r="F294" s="28"/>
      <c r="G294" s="28"/>
      <c r="I294"/>
      <c r="J294"/>
      <c r="S294" s="28"/>
    </row>
    <row r="295" spans="6:19" x14ac:dyDescent="0.2">
      <c r="F295" s="28"/>
      <c r="G295" s="28"/>
      <c r="I295"/>
      <c r="J295"/>
      <c r="S295" s="28"/>
    </row>
    <row r="296" spans="6:19" x14ac:dyDescent="0.2">
      <c r="F296" s="28"/>
      <c r="G296" s="28"/>
      <c r="I296"/>
      <c r="J296"/>
      <c r="S296" s="28"/>
    </row>
    <row r="297" spans="6:19" x14ac:dyDescent="0.2">
      <c r="F297" s="28"/>
      <c r="G297" s="28"/>
      <c r="I297"/>
      <c r="J297"/>
      <c r="S297" s="28"/>
    </row>
    <row r="298" spans="6:19" x14ac:dyDescent="0.2">
      <c r="F298" s="28"/>
      <c r="G298" s="28"/>
      <c r="I298"/>
      <c r="J298"/>
      <c r="S298" s="28"/>
    </row>
    <row r="299" spans="6:19" x14ac:dyDescent="0.2">
      <c r="F299" s="28"/>
      <c r="G299" s="28"/>
      <c r="I299"/>
      <c r="J299"/>
      <c r="S299" s="28"/>
    </row>
    <row r="300" spans="6:19" x14ac:dyDescent="0.2">
      <c r="F300" s="28"/>
      <c r="G300" s="28"/>
      <c r="I300"/>
      <c r="J300"/>
      <c r="S300" s="28"/>
    </row>
    <row r="301" spans="6:19" x14ac:dyDescent="0.2">
      <c r="F301" s="28"/>
      <c r="G301" s="28"/>
      <c r="I301"/>
      <c r="J301"/>
      <c r="S301" s="28"/>
    </row>
    <row r="302" spans="6:19" x14ac:dyDescent="0.2">
      <c r="F302" s="28"/>
      <c r="G302" s="28"/>
      <c r="I302"/>
      <c r="J302"/>
      <c r="S302" s="28"/>
    </row>
    <row r="303" spans="6:19" x14ac:dyDescent="0.2">
      <c r="F303" s="28"/>
      <c r="G303" s="28"/>
      <c r="I303"/>
      <c r="J303"/>
      <c r="S303" s="28"/>
    </row>
    <row r="304" spans="6:19" x14ac:dyDescent="0.2">
      <c r="F304" s="28"/>
      <c r="G304" s="28"/>
      <c r="I304"/>
      <c r="J304"/>
      <c r="S304" s="28"/>
    </row>
    <row r="305" spans="6:19" x14ac:dyDescent="0.2">
      <c r="F305" s="28"/>
      <c r="G305" s="28"/>
      <c r="I305"/>
      <c r="J305"/>
      <c r="S305" s="28"/>
    </row>
    <row r="306" spans="6:19" x14ac:dyDescent="0.2">
      <c r="F306" s="28"/>
      <c r="G306" s="28"/>
      <c r="I306"/>
      <c r="J306"/>
      <c r="S306" s="28"/>
    </row>
    <row r="307" spans="6:19" x14ac:dyDescent="0.2">
      <c r="F307" s="28"/>
      <c r="G307" s="28"/>
      <c r="I307"/>
      <c r="J307"/>
      <c r="S307" s="28"/>
    </row>
    <row r="308" spans="6:19" x14ac:dyDescent="0.2">
      <c r="F308" s="28"/>
      <c r="G308" s="28"/>
      <c r="I308"/>
      <c r="J308"/>
      <c r="S308" s="28"/>
    </row>
    <row r="309" spans="6:19" x14ac:dyDescent="0.2">
      <c r="F309" s="28"/>
      <c r="G309" s="28"/>
      <c r="I309"/>
      <c r="J309"/>
      <c r="S309" s="28"/>
    </row>
    <row r="310" spans="6:19" x14ac:dyDescent="0.2">
      <c r="F310" s="28"/>
      <c r="G310" s="28"/>
      <c r="I310"/>
      <c r="J310"/>
      <c r="S310" s="28"/>
    </row>
    <row r="311" spans="6:19" x14ac:dyDescent="0.2">
      <c r="F311" s="28"/>
      <c r="G311" s="28"/>
      <c r="I311"/>
      <c r="J311"/>
      <c r="S311" s="28"/>
    </row>
    <row r="312" spans="6:19" x14ac:dyDescent="0.2">
      <c r="F312" s="28"/>
      <c r="G312" s="28"/>
      <c r="I312"/>
      <c r="J312"/>
      <c r="S312" s="28"/>
    </row>
    <row r="313" spans="6:19" x14ac:dyDescent="0.2">
      <c r="F313" s="28"/>
      <c r="G313" s="28"/>
      <c r="I313"/>
      <c r="J313"/>
      <c r="S313" s="28"/>
    </row>
    <row r="314" spans="6:19" x14ac:dyDescent="0.2">
      <c r="F314" s="28"/>
      <c r="G314" s="28"/>
      <c r="I314"/>
      <c r="J314"/>
      <c r="S314" s="28"/>
    </row>
    <row r="315" spans="6:19" x14ac:dyDescent="0.2">
      <c r="F315" s="28"/>
      <c r="G315" s="28"/>
      <c r="I315"/>
      <c r="J315"/>
      <c r="S315" s="28"/>
    </row>
    <row r="316" spans="6:19" x14ac:dyDescent="0.2">
      <c r="F316" s="28"/>
      <c r="G316" s="28"/>
      <c r="I316"/>
      <c r="J316"/>
      <c r="S316" s="28"/>
    </row>
    <row r="317" spans="6:19" x14ac:dyDescent="0.2">
      <c r="F317" s="28"/>
      <c r="G317" s="28"/>
      <c r="I317"/>
      <c r="J317"/>
      <c r="S317" s="28"/>
    </row>
    <row r="318" spans="6:19" x14ac:dyDescent="0.2">
      <c r="F318" s="28"/>
      <c r="G318" s="28"/>
      <c r="I318"/>
      <c r="J318"/>
      <c r="S318" s="28"/>
    </row>
    <row r="319" spans="6:19" x14ac:dyDescent="0.2">
      <c r="F319" s="28"/>
      <c r="G319" s="28"/>
      <c r="I319"/>
      <c r="J319"/>
      <c r="S319" s="28"/>
    </row>
    <row r="320" spans="6:19" x14ac:dyDescent="0.2">
      <c r="F320" s="28"/>
      <c r="G320" s="28"/>
      <c r="I320"/>
      <c r="J320"/>
      <c r="S320" s="28"/>
    </row>
    <row r="321" spans="6:19" x14ac:dyDescent="0.2">
      <c r="F321" s="28"/>
      <c r="G321" s="28"/>
      <c r="I321"/>
      <c r="J321"/>
      <c r="S321" s="28"/>
    </row>
    <row r="322" spans="6:19" x14ac:dyDescent="0.2">
      <c r="F322" s="28"/>
      <c r="G322" s="28"/>
      <c r="I322"/>
      <c r="J322"/>
      <c r="S322" s="28"/>
    </row>
    <row r="323" spans="6:19" x14ac:dyDescent="0.2">
      <c r="F323" s="28"/>
      <c r="G323" s="28"/>
      <c r="I323"/>
      <c r="J323"/>
      <c r="S323" s="28"/>
    </row>
    <row r="324" spans="6:19" x14ac:dyDescent="0.2">
      <c r="F324" s="28"/>
      <c r="G324" s="28"/>
      <c r="I324"/>
      <c r="J324"/>
      <c r="S324" s="28"/>
    </row>
    <row r="325" spans="6:19" x14ac:dyDescent="0.2">
      <c r="F325" s="28"/>
      <c r="G325" s="28"/>
      <c r="I325"/>
      <c r="J325"/>
      <c r="S325" s="28"/>
    </row>
    <row r="326" spans="6:19" x14ac:dyDescent="0.2">
      <c r="F326" s="28"/>
      <c r="G326" s="28"/>
      <c r="I326"/>
      <c r="J326"/>
      <c r="S326" s="28"/>
    </row>
    <row r="327" spans="6:19" x14ac:dyDescent="0.2">
      <c r="F327" s="28"/>
      <c r="G327" s="28"/>
      <c r="I327"/>
      <c r="J327"/>
      <c r="S327" s="28"/>
    </row>
    <row r="328" spans="6:19" x14ac:dyDescent="0.2">
      <c r="F328" s="28"/>
      <c r="G328" s="28"/>
      <c r="I328"/>
      <c r="J328"/>
      <c r="S328" s="28"/>
    </row>
    <row r="329" spans="6:19" x14ac:dyDescent="0.2">
      <c r="F329" s="28"/>
      <c r="G329" s="28"/>
      <c r="I329"/>
      <c r="J329"/>
      <c r="S329" s="28"/>
    </row>
    <row r="330" spans="6:19" x14ac:dyDescent="0.2">
      <c r="F330" s="28"/>
      <c r="G330" s="28"/>
      <c r="I330"/>
      <c r="J330"/>
      <c r="S330" s="28"/>
    </row>
    <row r="331" spans="6:19" x14ac:dyDescent="0.2">
      <c r="F331" s="28"/>
      <c r="G331" s="28"/>
      <c r="I331"/>
      <c r="J331"/>
      <c r="S331" s="28"/>
    </row>
    <row r="332" spans="6:19" x14ac:dyDescent="0.2">
      <c r="F332" s="28"/>
      <c r="G332" s="28"/>
      <c r="I332"/>
      <c r="J332"/>
      <c r="S332" s="28"/>
    </row>
    <row r="333" spans="6:19" x14ac:dyDescent="0.2">
      <c r="F333" s="28"/>
      <c r="G333" s="28"/>
      <c r="I333"/>
      <c r="J333"/>
      <c r="S333" s="28"/>
    </row>
    <row r="334" spans="6:19" x14ac:dyDescent="0.2">
      <c r="F334" s="28"/>
      <c r="G334" s="28"/>
      <c r="I334"/>
      <c r="J334"/>
      <c r="S334" s="28"/>
    </row>
    <row r="335" spans="6:19" x14ac:dyDescent="0.2">
      <c r="F335" s="28"/>
      <c r="G335" s="28"/>
      <c r="I335"/>
      <c r="J335"/>
      <c r="S335" s="28"/>
    </row>
    <row r="336" spans="6:19" x14ac:dyDescent="0.2">
      <c r="F336" s="28"/>
      <c r="G336" s="28"/>
      <c r="I336"/>
      <c r="J336"/>
      <c r="S336" s="28"/>
    </row>
    <row r="337" spans="6:19" x14ac:dyDescent="0.2">
      <c r="F337" s="28"/>
      <c r="G337" s="28"/>
      <c r="I337"/>
      <c r="J337"/>
      <c r="S337" s="28"/>
    </row>
    <row r="338" spans="6:19" x14ac:dyDescent="0.2">
      <c r="F338" s="28"/>
      <c r="G338" s="28"/>
      <c r="I338"/>
      <c r="J338"/>
      <c r="S338" s="28"/>
    </row>
    <row r="339" spans="6:19" x14ac:dyDescent="0.2">
      <c r="F339" s="6"/>
      <c r="G339" s="6"/>
      <c r="I339"/>
      <c r="J339"/>
      <c r="S339" s="6"/>
    </row>
    <row r="340" spans="6:19" x14ac:dyDescent="0.2">
      <c r="F340" s="6"/>
      <c r="G340" s="6"/>
      <c r="I340"/>
      <c r="J340"/>
      <c r="S340" s="6"/>
    </row>
    <row r="341" spans="6:19" x14ac:dyDescent="0.2">
      <c r="F341" s="6"/>
      <c r="G341" s="6"/>
      <c r="I341"/>
      <c r="J341"/>
      <c r="S341" s="6"/>
    </row>
    <row r="342" spans="6:19" x14ac:dyDescent="0.2">
      <c r="F342" s="6"/>
      <c r="G342" s="6"/>
      <c r="I342"/>
      <c r="J342"/>
      <c r="S342" s="6"/>
    </row>
    <row r="343" spans="6:19" x14ac:dyDescent="0.2">
      <c r="F343" s="6"/>
      <c r="G343" s="6"/>
      <c r="I343"/>
      <c r="J343"/>
      <c r="S343" s="6"/>
    </row>
    <row r="344" spans="6:19" x14ac:dyDescent="0.2">
      <c r="F344" s="6"/>
      <c r="G344" s="6"/>
      <c r="I344"/>
      <c r="J344"/>
      <c r="S344" s="6"/>
    </row>
    <row r="345" spans="6:19" x14ac:dyDescent="0.2">
      <c r="F345" s="6"/>
      <c r="G345" s="6"/>
      <c r="I345"/>
      <c r="J345"/>
      <c r="S345" s="6"/>
    </row>
    <row r="346" spans="6:19" x14ac:dyDescent="0.2">
      <c r="F346" s="6"/>
      <c r="G346" s="6"/>
      <c r="I346"/>
      <c r="J346"/>
      <c r="S346" s="6"/>
    </row>
    <row r="347" spans="6:19" x14ac:dyDescent="0.2">
      <c r="F347" s="6"/>
      <c r="G347" s="6"/>
      <c r="I347"/>
      <c r="J347"/>
      <c r="S347" s="6"/>
    </row>
    <row r="348" spans="6:19" x14ac:dyDescent="0.2">
      <c r="F348" s="6"/>
      <c r="G348" s="6"/>
      <c r="I348"/>
      <c r="J348"/>
      <c r="S348" s="6"/>
    </row>
    <row r="349" spans="6:19" x14ac:dyDescent="0.2">
      <c r="F349" s="6"/>
      <c r="G349" s="6"/>
      <c r="I349"/>
      <c r="J349"/>
      <c r="S349" s="6"/>
    </row>
    <row r="350" spans="6:19" x14ac:dyDescent="0.2">
      <c r="F350" s="6"/>
      <c r="G350" s="6"/>
      <c r="I350"/>
      <c r="J350"/>
      <c r="S350" s="6"/>
    </row>
    <row r="351" spans="6:19" x14ac:dyDescent="0.2">
      <c r="F351" s="6"/>
      <c r="G351" s="6"/>
      <c r="I351"/>
      <c r="J351"/>
      <c r="S351" s="6"/>
    </row>
    <row r="352" spans="6:19" x14ac:dyDescent="0.2">
      <c r="F352" s="6"/>
      <c r="G352" s="6"/>
      <c r="I352"/>
      <c r="J352"/>
      <c r="S352" s="6"/>
    </row>
    <row r="353" spans="6:19" x14ac:dyDescent="0.2">
      <c r="F353" s="6"/>
      <c r="G353" s="6"/>
      <c r="I353"/>
      <c r="J353"/>
      <c r="S353" s="6"/>
    </row>
    <row r="354" spans="6:19" x14ac:dyDescent="0.2">
      <c r="F354" s="6"/>
      <c r="G354" s="6"/>
      <c r="I354"/>
      <c r="J354"/>
      <c r="S354" s="6"/>
    </row>
    <row r="355" spans="6:19" x14ac:dyDescent="0.2">
      <c r="F355" s="6"/>
      <c r="G355" s="6"/>
      <c r="I355"/>
      <c r="J355"/>
      <c r="S355" s="6"/>
    </row>
    <row r="356" spans="6:19" x14ac:dyDescent="0.2">
      <c r="F356" s="6"/>
      <c r="G356" s="6"/>
      <c r="I356"/>
      <c r="J356"/>
      <c r="S356" s="6"/>
    </row>
    <row r="357" spans="6:19" x14ac:dyDescent="0.2">
      <c r="F357" s="6"/>
      <c r="G357" s="6"/>
      <c r="I357"/>
      <c r="J357"/>
      <c r="S357" s="6"/>
    </row>
    <row r="358" spans="6:19" x14ac:dyDescent="0.2">
      <c r="F358" s="6"/>
      <c r="G358" s="6"/>
      <c r="I358"/>
      <c r="J358"/>
      <c r="S358" s="6"/>
    </row>
    <row r="359" spans="6:19" x14ac:dyDescent="0.2">
      <c r="F359" s="6"/>
      <c r="G359" s="6"/>
      <c r="I359"/>
      <c r="J359"/>
      <c r="S359" s="6"/>
    </row>
    <row r="360" spans="6:19" x14ac:dyDescent="0.2">
      <c r="F360" s="6"/>
      <c r="G360" s="6"/>
      <c r="I360"/>
      <c r="J360"/>
      <c r="S360" s="6"/>
    </row>
    <row r="361" spans="6:19" x14ac:dyDescent="0.2">
      <c r="F361" s="6"/>
      <c r="G361" s="6"/>
      <c r="I361"/>
      <c r="J361"/>
      <c r="S361" s="6"/>
    </row>
    <row r="362" spans="6:19" x14ac:dyDescent="0.2">
      <c r="F362" s="6"/>
      <c r="G362" s="6"/>
      <c r="I362"/>
      <c r="J362"/>
      <c r="S362" s="6"/>
    </row>
    <row r="363" spans="6:19" x14ac:dyDescent="0.2">
      <c r="F363" s="6"/>
      <c r="G363" s="6"/>
      <c r="I363"/>
      <c r="J363"/>
      <c r="S363" s="6"/>
    </row>
    <row r="364" spans="6:19" x14ac:dyDescent="0.2">
      <c r="F364" s="6"/>
      <c r="G364" s="6"/>
      <c r="I364"/>
      <c r="J364"/>
      <c r="S364" s="6"/>
    </row>
    <row r="365" spans="6:19" x14ac:dyDescent="0.2">
      <c r="F365" s="6"/>
      <c r="G365"/>
      <c r="I365"/>
      <c r="J365"/>
      <c r="S365"/>
    </row>
    <row r="366" spans="6:19" x14ac:dyDescent="0.2">
      <c r="F366" s="6"/>
      <c r="G366"/>
      <c r="I366"/>
      <c r="J366"/>
      <c r="S366"/>
    </row>
    <row r="367" spans="6:19" x14ac:dyDescent="0.2">
      <c r="F367" s="6"/>
      <c r="G367"/>
      <c r="I367"/>
      <c r="J367"/>
      <c r="S367"/>
    </row>
    <row r="368" spans="6:19" x14ac:dyDescent="0.2">
      <c r="F368" s="6"/>
      <c r="G368"/>
      <c r="I368"/>
      <c r="J368"/>
      <c r="S368"/>
    </row>
    <row r="369" spans="6:19" x14ac:dyDescent="0.2">
      <c r="F369" s="6"/>
      <c r="G369"/>
      <c r="I369"/>
      <c r="J369"/>
      <c r="S369"/>
    </row>
    <row r="370" spans="6:19" x14ac:dyDescent="0.2">
      <c r="F370" s="6"/>
      <c r="G370"/>
      <c r="I370"/>
      <c r="J370"/>
      <c r="S370"/>
    </row>
    <row r="371" spans="6:19" x14ac:dyDescent="0.2">
      <c r="F371" s="6"/>
      <c r="G371"/>
      <c r="I371"/>
      <c r="J371"/>
      <c r="S371"/>
    </row>
    <row r="372" spans="6:19" x14ac:dyDescent="0.2">
      <c r="F372" s="6"/>
      <c r="G372"/>
      <c r="I372"/>
      <c r="J372"/>
      <c r="S372"/>
    </row>
    <row r="373" spans="6:19" x14ac:dyDescent="0.2">
      <c r="F373" s="6"/>
      <c r="G373"/>
      <c r="I373"/>
      <c r="J373"/>
      <c r="S373"/>
    </row>
    <row r="374" spans="6:19" x14ac:dyDescent="0.2">
      <c r="F374" s="6"/>
      <c r="G374"/>
      <c r="I374"/>
      <c r="J374"/>
      <c r="S374"/>
    </row>
    <row r="375" spans="6:19" x14ac:dyDescent="0.2">
      <c r="F375" s="6"/>
      <c r="G375"/>
      <c r="I375"/>
      <c r="J375"/>
      <c r="S375"/>
    </row>
    <row r="376" spans="6:19" x14ac:dyDescent="0.2">
      <c r="F376" s="6"/>
      <c r="G376"/>
      <c r="I376"/>
      <c r="J376"/>
      <c r="S376"/>
    </row>
    <row r="377" spans="6:19" x14ac:dyDescent="0.2">
      <c r="F377" s="6"/>
      <c r="G377"/>
      <c r="I377"/>
      <c r="J377"/>
      <c r="S377"/>
    </row>
    <row r="378" spans="6:19" x14ac:dyDescent="0.2">
      <c r="F378" s="6"/>
      <c r="G378"/>
      <c r="I378"/>
      <c r="J378"/>
      <c r="S378"/>
    </row>
  </sheetData>
  <mergeCells count="4">
    <mergeCell ref="V2:Y2"/>
    <mergeCell ref="B156:D156"/>
    <mergeCell ref="B163:D163"/>
    <mergeCell ref="B155:D155"/>
  </mergeCells>
  <phoneticPr fontId="5" type="noConversion"/>
  <printOptions horizontalCentered="1" verticalCentered="1"/>
  <pageMargins left="0.25" right="0.25" top="0.75" bottom="0.75" header="0.3" footer="0.3"/>
  <pageSetup paperSize="9" scale="75" fitToHeight="7" orientation="portrait" r:id="rId1"/>
  <headerFooter alignWithMargins="0">
    <oddFooter>Page &amp;P of &amp;N</oddFooter>
  </headerFooter>
  <rowBreaks count="3" manualBreakCount="3">
    <brk id="59" max="24" man="1"/>
    <brk id="125" max="24" man="1"/>
    <brk id="195" max="24" man="1"/>
  </rowBreaks>
  <ignoredErrors>
    <ignoredError sqref="V116:W1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7"/>
  <sheetViews>
    <sheetView showWhiteSpace="0" view="pageBreakPreview" zoomScaleNormal="100" zoomScaleSheetLayoutView="100" workbookViewId="0">
      <selection activeCell="H6" sqref="H6"/>
    </sheetView>
  </sheetViews>
  <sheetFormatPr defaultRowHeight="12.75" x14ac:dyDescent="0.2"/>
  <cols>
    <col min="1" max="1" width="4.5703125" customWidth="1"/>
    <col min="2" max="2" width="22.7109375" customWidth="1"/>
    <col min="3" max="4" width="11.140625" customWidth="1"/>
    <col min="5" max="5" width="21.85546875" customWidth="1"/>
    <col min="6" max="6" width="15.28515625" style="5" customWidth="1"/>
    <col min="7" max="8" width="13.85546875" customWidth="1"/>
  </cols>
  <sheetData>
    <row r="1" spans="1:8" x14ac:dyDescent="0.2">
      <c r="A1" s="29"/>
      <c r="B1" s="30"/>
      <c r="C1" s="30"/>
      <c r="D1" s="30"/>
      <c r="E1" s="30"/>
      <c r="F1" s="145"/>
      <c r="G1" s="145"/>
      <c r="H1" s="56"/>
    </row>
    <row r="2" spans="1:8" ht="15.75" thickBot="1" x14ac:dyDescent="0.25">
      <c r="A2" s="57" t="s">
        <v>370</v>
      </c>
      <c r="B2" s="26"/>
      <c r="F2" s="60"/>
      <c r="G2" s="22"/>
      <c r="H2" s="18"/>
    </row>
    <row r="3" spans="1:8" ht="13.5" thickBot="1" x14ac:dyDescent="0.25">
      <c r="A3" s="29"/>
      <c r="B3" s="30"/>
      <c r="C3" s="30"/>
      <c r="D3" s="30"/>
      <c r="E3" s="30"/>
      <c r="F3" s="219" t="s">
        <v>380</v>
      </c>
      <c r="G3" s="220" t="s">
        <v>396</v>
      </c>
      <c r="H3" s="66" t="s">
        <v>413</v>
      </c>
    </row>
    <row r="4" spans="1:8" x14ac:dyDescent="0.2">
      <c r="A4" s="146" t="s">
        <v>364</v>
      </c>
      <c r="B4" s="7"/>
      <c r="C4" s="7"/>
      <c r="D4" s="7"/>
      <c r="E4" s="8"/>
      <c r="F4" s="192"/>
      <c r="G4" s="101"/>
      <c r="H4" s="95"/>
    </row>
    <row r="5" spans="1:8" ht="17.25" customHeight="1" x14ac:dyDescent="0.2">
      <c r="A5" s="19"/>
      <c r="B5" s="7" t="s">
        <v>224</v>
      </c>
      <c r="C5" s="7"/>
      <c r="D5" s="7"/>
      <c r="E5" s="8"/>
      <c r="F5" s="163"/>
      <c r="G5" s="96"/>
      <c r="H5" s="96"/>
    </row>
    <row r="6" spans="1:8" x14ac:dyDescent="0.2">
      <c r="A6" s="19"/>
      <c r="B6" s="2" t="s">
        <v>216</v>
      </c>
      <c r="C6" s="2"/>
      <c r="D6" s="25" t="s">
        <v>217</v>
      </c>
      <c r="E6" s="9"/>
      <c r="F6" s="193">
        <v>92.742623999999992</v>
      </c>
      <c r="G6" s="126">
        <v>94.49</v>
      </c>
      <c r="H6" s="126">
        <f>+G6*1.0684</f>
        <v>100.95311599999999</v>
      </c>
    </row>
    <row r="7" spans="1:8" x14ac:dyDescent="0.2">
      <c r="A7" s="19"/>
      <c r="B7" s="2" t="s">
        <v>218</v>
      </c>
      <c r="D7" s="25" t="s">
        <v>219</v>
      </c>
      <c r="E7" s="9"/>
      <c r="F7" s="193">
        <v>1.8514079999999999</v>
      </c>
      <c r="G7" s="126">
        <v>1.8848</v>
      </c>
      <c r="H7" s="126">
        <f>+G7*1.0684</f>
        <v>2.01372032</v>
      </c>
    </row>
    <row r="8" spans="1:8" x14ac:dyDescent="0.2">
      <c r="A8" s="27"/>
      <c r="B8" s="10"/>
      <c r="E8" s="9"/>
      <c r="F8" s="194"/>
      <c r="G8" s="97"/>
      <c r="H8" s="97"/>
    </row>
    <row r="9" spans="1:8" x14ac:dyDescent="0.2">
      <c r="A9" s="19"/>
      <c r="B9" s="7" t="s">
        <v>220</v>
      </c>
      <c r="E9" s="9"/>
      <c r="F9" s="194"/>
      <c r="G9" s="97"/>
      <c r="H9" s="97"/>
    </row>
    <row r="10" spans="1:8" x14ac:dyDescent="0.2">
      <c r="A10" s="19"/>
      <c r="B10" s="2" t="s">
        <v>216</v>
      </c>
      <c r="D10" s="25" t="s">
        <v>217</v>
      </c>
      <c r="E10" s="9"/>
      <c r="F10" s="194"/>
      <c r="G10" s="97"/>
      <c r="H10" s="97"/>
    </row>
    <row r="11" spans="1:8" x14ac:dyDescent="0.2">
      <c r="A11" s="19"/>
      <c r="B11" s="2" t="s">
        <v>222</v>
      </c>
      <c r="D11" s="25" t="s">
        <v>221</v>
      </c>
      <c r="E11" s="11"/>
      <c r="F11" s="193">
        <v>20.408544000000003</v>
      </c>
      <c r="G11" s="126">
        <v>20.79</v>
      </c>
      <c r="H11" s="126">
        <f>+G11*1.0684</f>
        <v>22.212035999999998</v>
      </c>
    </row>
    <row r="12" spans="1:8" x14ac:dyDescent="0.2">
      <c r="A12" s="19"/>
      <c r="B12" s="2" t="s">
        <v>218</v>
      </c>
      <c r="D12" s="25" t="s">
        <v>219</v>
      </c>
      <c r="E12" s="9"/>
      <c r="F12" s="193">
        <v>1.3024439999999999</v>
      </c>
      <c r="G12" s="126">
        <v>1.3245</v>
      </c>
      <c r="H12" s="126">
        <f>+G12*1.0684</f>
        <v>1.4150958</v>
      </c>
    </row>
    <row r="13" spans="1:8" x14ac:dyDescent="0.2">
      <c r="A13" s="19"/>
      <c r="B13" s="10"/>
      <c r="E13" s="9"/>
      <c r="F13" s="221"/>
      <c r="G13" s="221"/>
      <c r="H13" s="221"/>
    </row>
    <row r="14" spans="1:8" x14ac:dyDescent="0.2">
      <c r="A14" s="19"/>
      <c r="E14" s="9"/>
      <c r="F14" s="205"/>
      <c r="G14" s="175"/>
      <c r="H14" s="175"/>
    </row>
    <row r="15" spans="1:8" x14ac:dyDescent="0.2">
      <c r="A15" s="19"/>
      <c r="B15" s="7" t="s">
        <v>223</v>
      </c>
      <c r="D15" s="25" t="s">
        <v>219</v>
      </c>
      <c r="E15" s="9"/>
      <c r="F15" s="193">
        <v>1.91</v>
      </c>
      <c r="G15" s="193">
        <v>1.94</v>
      </c>
      <c r="H15" s="193">
        <f>+G15*1.0684</f>
        <v>2.0726960000000001</v>
      </c>
    </row>
    <row r="16" spans="1:8" x14ac:dyDescent="0.2">
      <c r="A16" s="19"/>
      <c r="B16" s="7" t="s">
        <v>416</v>
      </c>
      <c r="D16" s="25"/>
      <c r="E16" s="9"/>
      <c r="F16" s="194"/>
      <c r="G16" s="194"/>
      <c r="H16" s="194"/>
    </row>
    <row r="17" spans="1:8" x14ac:dyDescent="0.2">
      <c r="A17" s="19"/>
      <c r="B17" s="10"/>
      <c r="E17" s="9"/>
      <c r="F17" s="194"/>
      <c r="G17" s="194"/>
      <c r="H17" s="194"/>
    </row>
    <row r="18" spans="1:8" x14ac:dyDescent="0.2">
      <c r="A18" s="19"/>
      <c r="B18" s="7" t="s">
        <v>270</v>
      </c>
      <c r="E18" s="9"/>
      <c r="F18" s="194"/>
      <c r="G18" s="194"/>
      <c r="H18" s="194"/>
    </row>
    <row r="19" spans="1:8" x14ac:dyDescent="0.2">
      <c r="A19" s="19"/>
      <c r="B19" s="2" t="s">
        <v>216</v>
      </c>
      <c r="D19" s="25" t="s">
        <v>217</v>
      </c>
      <c r="E19" s="9"/>
      <c r="F19" s="195">
        <v>0</v>
      </c>
      <c r="G19" s="127">
        <v>0</v>
      </c>
      <c r="H19" s="127">
        <v>0</v>
      </c>
    </row>
    <row r="20" spans="1:8" x14ac:dyDescent="0.2">
      <c r="A20" s="19"/>
      <c r="B20" s="2" t="s">
        <v>218</v>
      </c>
      <c r="D20" s="25" t="s">
        <v>219</v>
      </c>
      <c r="E20" s="9"/>
      <c r="F20" s="193">
        <v>1.3024439999999999</v>
      </c>
      <c r="G20" s="126">
        <v>1.33</v>
      </c>
      <c r="H20" s="126">
        <f>+G20*1.0684</f>
        <v>1.4209720000000001</v>
      </c>
    </row>
    <row r="21" spans="1:8" x14ac:dyDescent="0.2">
      <c r="A21" s="19"/>
      <c r="B21" s="10"/>
      <c r="E21" s="9"/>
      <c r="F21" s="194"/>
      <c r="G21" s="97"/>
      <c r="H21" s="97"/>
    </row>
    <row r="22" spans="1:8" x14ac:dyDescent="0.2">
      <c r="A22" s="19"/>
      <c r="B22" s="7" t="s">
        <v>225</v>
      </c>
      <c r="E22" s="9"/>
      <c r="F22" s="194"/>
      <c r="G22" s="97"/>
      <c r="H22" s="97"/>
    </row>
    <row r="23" spans="1:8" x14ac:dyDescent="0.2">
      <c r="A23" s="19"/>
      <c r="B23" s="2" t="s">
        <v>216</v>
      </c>
      <c r="D23" s="25" t="s">
        <v>217</v>
      </c>
      <c r="E23" s="9"/>
      <c r="F23" s="224"/>
      <c r="G23" s="225"/>
      <c r="H23" s="225"/>
    </row>
    <row r="24" spans="1:8" x14ac:dyDescent="0.2">
      <c r="A24" s="19"/>
      <c r="B24" s="2" t="s">
        <v>228</v>
      </c>
      <c r="D24" s="25" t="s">
        <v>221</v>
      </c>
      <c r="E24" s="9"/>
      <c r="F24" s="193">
        <v>13.971672000000002</v>
      </c>
      <c r="G24" s="126">
        <v>14.23</v>
      </c>
      <c r="H24" s="126">
        <f>+G24*1.0684</f>
        <v>15.203332000000001</v>
      </c>
    </row>
    <row r="25" spans="1:8" x14ac:dyDescent="0.2">
      <c r="A25" s="19"/>
      <c r="B25" s="2" t="s">
        <v>227</v>
      </c>
      <c r="D25" s="25" t="s">
        <v>221</v>
      </c>
      <c r="E25" s="9"/>
      <c r="F25" s="193">
        <v>14.843556</v>
      </c>
      <c r="G25" s="126">
        <v>15.12</v>
      </c>
      <c r="H25" s="126">
        <f>+G25*1.0684</f>
        <v>16.154208000000001</v>
      </c>
    </row>
    <row r="26" spans="1:8" x14ac:dyDescent="0.2">
      <c r="A26" s="19"/>
      <c r="B26" s="2" t="s">
        <v>218</v>
      </c>
      <c r="D26" s="25" t="s">
        <v>219</v>
      </c>
      <c r="E26" s="9"/>
      <c r="F26" s="193">
        <v>1.82988</v>
      </c>
      <c r="G26" s="126">
        <v>1.86</v>
      </c>
      <c r="H26" s="126">
        <f>+G26*1.0684</f>
        <v>1.9872240000000001</v>
      </c>
    </row>
    <row r="27" spans="1:8" x14ac:dyDescent="0.2">
      <c r="A27" s="19"/>
      <c r="B27" s="2"/>
      <c r="D27" s="25"/>
      <c r="E27" s="9"/>
      <c r="F27" s="194"/>
      <c r="G27" s="97"/>
      <c r="H27" s="97"/>
    </row>
    <row r="28" spans="1:8" x14ac:dyDescent="0.2">
      <c r="A28" s="19"/>
      <c r="B28" s="7" t="s">
        <v>226</v>
      </c>
      <c r="E28" s="9"/>
      <c r="F28" s="194"/>
      <c r="G28" s="97"/>
      <c r="H28" s="97"/>
    </row>
    <row r="29" spans="1:8" x14ac:dyDescent="0.2">
      <c r="A29" s="19"/>
      <c r="B29" s="2" t="s">
        <v>216</v>
      </c>
      <c r="D29" s="25" t="s">
        <v>217</v>
      </c>
      <c r="E29" s="9"/>
      <c r="F29" s="194"/>
      <c r="G29" s="97"/>
      <c r="H29" s="97"/>
    </row>
    <row r="30" spans="1:8" x14ac:dyDescent="0.2">
      <c r="A30" s="19"/>
      <c r="B30" s="2" t="s">
        <v>229</v>
      </c>
      <c r="D30" s="25" t="s">
        <v>221</v>
      </c>
      <c r="E30" s="9"/>
      <c r="F30" s="193">
        <v>28.933631999999999</v>
      </c>
      <c r="G30" s="126">
        <v>29.48</v>
      </c>
      <c r="H30" s="126">
        <f>+G30*1.0684</f>
        <v>31.496432000000002</v>
      </c>
    </row>
    <row r="31" spans="1:8" x14ac:dyDescent="0.2">
      <c r="A31" s="19"/>
      <c r="B31" s="2" t="s">
        <v>218</v>
      </c>
      <c r="D31" s="25" t="s">
        <v>219</v>
      </c>
      <c r="E31" s="9"/>
      <c r="F31" s="193">
        <v>1.4100840000000001</v>
      </c>
      <c r="G31" s="126">
        <v>1.44</v>
      </c>
      <c r="H31" s="126">
        <f>+G31*1.0684</f>
        <v>1.5384959999999999</v>
      </c>
    </row>
    <row r="32" spans="1:8" x14ac:dyDescent="0.2">
      <c r="A32" s="19"/>
      <c r="B32" s="2" t="s">
        <v>418</v>
      </c>
      <c r="D32" s="25"/>
      <c r="E32" s="9"/>
      <c r="F32" s="194"/>
      <c r="G32" s="97"/>
      <c r="H32" s="97"/>
    </row>
    <row r="33" spans="1:8" x14ac:dyDescent="0.2">
      <c r="A33" s="19"/>
      <c r="B33" s="2" t="s">
        <v>417</v>
      </c>
      <c r="D33" s="25"/>
      <c r="E33" s="9"/>
      <c r="F33" s="194"/>
      <c r="G33" s="97"/>
      <c r="H33" s="97"/>
    </row>
    <row r="34" spans="1:8" x14ac:dyDescent="0.2">
      <c r="A34" s="19"/>
      <c r="B34" s="2" t="s">
        <v>419</v>
      </c>
      <c r="D34" s="25"/>
      <c r="E34" s="9"/>
      <c r="F34" s="194"/>
      <c r="G34" s="97"/>
      <c r="H34" s="97"/>
    </row>
    <row r="35" spans="1:8" x14ac:dyDescent="0.2">
      <c r="A35" s="19"/>
      <c r="E35" s="9"/>
      <c r="F35" s="194"/>
      <c r="G35" s="97"/>
      <c r="H35" s="97"/>
    </row>
    <row r="36" spans="1:8" x14ac:dyDescent="0.2">
      <c r="A36" s="19"/>
      <c r="B36" s="7" t="s">
        <v>230</v>
      </c>
      <c r="E36" s="12"/>
      <c r="F36" s="196"/>
      <c r="G36" s="99"/>
      <c r="H36" s="99"/>
    </row>
    <row r="37" spans="1:8" x14ac:dyDescent="0.2">
      <c r="A37" s="19"/>
      <c r="B37" s="2" t="s">
        <v>216</v>
      </c>
      <c r="D37" s="25" t="s">
        <v>217</v>
      </c>
      <c r="E37" s="12"/>
      <c r="F37" s="194"/>
      <c r="G37" s="97"/>
      <c r="H37" s="97"/>
    </row>
    <row r="38" spans="1:8" x14ac:dyDescent="0.2">
      <c r="A38" s="19"/>
      <c r="B38" s="2" t="s">
        <v>229</v>
      </c>
      <c r="D38" s="25" t="s">
        <v>221</v>
      </c>
      <c r="E38" s="11"/>
      <c r="F38" s="193">
        <v>34.014240000000001</v>
      </c>
      <c r="G38" s="126">
        <v>34.590000000000003</v>
      </c>
      <c r="H38" s="126">
        <f>+G38*1.0684</f>
        <v>36.955956000000008</v>
      </c>
    </row>
    <row r="39" spans="1:8" x14ac:dyDescent="0.2">
      <c r="A39" s="19"/>
      <c r="B39" s="2" t="s">
        <v>218</v>
      </c>
      <c r="D39" s="25" t="s">
        <v>219</v>
      </c>
      <c r="E39" s="11"/>
      <c r="F39" s="193">
        <v>1.5715440000000001</v>
      </c>
      <c r="G39" s="126">
        <v>1.6</v>
      </c>
      <c r="H39" s="126">
        <f>+G39*1.0684</f>
        <v>1.7094400000000001</v>
      </c>
    </row>
    <row r="40" spans="1:8" x14ac:dyDescent="0.2">
      <c r="A40" s="19"/>
      <c r="B40" s="10"/>
      <c r="E40" s="11"/>
      <c r="F40" s="196"/>
      <c r="G40" s="99"/>
      <c r="H40" s="99"/>
    </row>
    <row r="41" spans="1:8" x14ac:dyDescent="0.2">
      <c r="A41" s="19"/>
      <c r="B41" s="7" t="s">
        <v>231</v>
      </c>
      <c r="E41" s="12"/>
      <c r="F41" s="194"/>
      <c r="G41" s="97"/>
      <c r="H41" s="97"/>
    </row>
    <row r="42" spans="1:8" x14ac:dyDescent="0.2">
      <c r="A42" s="19"/>
      <c r="B42" s="2" t="s">
        <v>216</v>
      </c>
      <c r="D42" s="25" t="s">
        <v>217</v>
      </c>
      <c r="E42" s="12"/>
      <c r="F42" s="194"/>
      <c r="G42" s="97"/>
      <c r="H42" s="97"/>
    </row>
    <row r="43" spans="1:8" x14ac:dyDescent="0.2">
      <c r="A43" s="19"/>
      <c r="B43" s="2" t="s">
        <v>232</v>
      </c>
      <c r="D43" s="25" t="s">
        <v>219</v>
      </c>
      <c r="E43" s="12"/>
      <c r="F43" s="193">
        <v>1.5715440000000001</v>
      </c>
      <c r="G43" s="126">
        <v>1.6</v>
      </c>
      <c r="H43" s="126">
        <f>+G43*1.0684</f>
        <v>1.7094400000000001</v>
      </c>
    </row>
    <row r="44" spans="1:8" x14ac:dyDescent="0.2">
      <c r="A44" s="19"/>
      <c r="B44" s="2" t="s">
        <v>233</v>
      </c>
      <c r="D44" s="25" t="s">
        <v>219</v>
      </c>
      <c r="E44" s="12"/>
      <c r="F44" s="193">
        <v>1.2055680000000002</v>
      </c>
      <c r="G44" s="126">
        <v>1.23</v>
      </c>
      <c r="H44" s="126">
        <f>+G44*1.0684</f>
        <v>1.3141320000000001</v>
      </c>
    </row>
    <row r="45" spans="1:8" x14ac:dyDescent="0.2">
      <c r="A45" s="19"/>
      <c r="B45" s="2" t="s">
        <v>234</v>
      </c>
      <c r="D45" s="25" t="s">
        <v>235</v>
      </c>
      <c r="E45" s="12"/>
      <c r="F45" s="193">
        <v>140.96534400000002</v>
      </c>
      <c r="G45" s="126">
        <v>143.62</v>
      </c>
      <c r="H45" s="126">
        <f>+G45*1.0684</f>
        <v>153.44360800000001</v>
      </c>
    </row>
    <row r="46" spans="1:8" x14ac:dyDescent="0.2">
      <c r="A46" s="19"/>
      <c r="B46" s="10"/>
      <c r="D46" s="25"/>
      <c r="E46" s="12"/>
      <c r="F46" s="194"/>
      <c r="G46" s="97"/>
      <c r="H46" s="97"/>
    </row>
    <row r="47" spans="1:8" x14ac:dyDescent="0.2">
      <c r="A47" s="19"/>
      <c r="B47" s="7" t="s">
        <v>241</v>
      </c>
      <c r="E47" s="12"/>
      <c r="F47" s="163"/>
      <c r="G47" s="96"/>
      <c r="H47" s="96"/>
    </row>
    <row r="48" spans="1:8" x14ac:dyDescent="0.2">
      <c r="A48" s="19"/>
      <c r="B48" s="2" t="s">
        <v>236</v>
      </c>
      <c r="D48" s="25" t="s">
        <v>237</v>
      </c>
      <c r="E48" s="12"/>
      <c r="F48" s="156">
        <v>2500</v>
      </c>
      <c r="G48" s="128">
        <v>2500</v>
      </c>
      <c r="H48" s="128">
        <v>2800</v>
      </c>
    </row>
    <row r="49" spans="1:8" x14ac:dyDescent="0.2">
      <c r="A49" s="19"/>
      <c r="B49" s="2" t="s">
        <v>236</v>
      </c>
      <c r="D49" s="25" t="s">
        <v>238</v>
      </c>
      <c r="E49" s="12"/>
      <c r="F49" s="156">
        <v>6000</v>
      </c>
      <c r="G49" s="128">
        <v>6000</v>
      </c>
      <c r="H49" s="128">
        <v>6300</v>
      </c>
    </row>
    <row r="50" spans="1:8" x14ac:dyDescent="0.2">
      <c r="A50" s="19"/>
      <c r="B50" s="2"/>
      <c r="E50" s="12"/>
      <c r="F50" s="158"/>
      <c r="G50" s="223"/>
      <c r="H50" s="96"/>
    </row>
    <row r="51" spans="1:8" x14ac:dyDescent="0.2">
      <c r="A51" s="19"/>
      <c r="B51" s="7" t="s">
        <v>239</v>
      </c>
      <c r="E51" s="11"/>
      <c r="F51" s="224"/>
      <c r="G51" s="225"/>
      <c r="H51" s="225"/>
    </row>
    <row r="52" spans="1:8" x14ac:dyDescent="0.2">
      <c r="A52" s="19"/>
      <c r="B52" s="2" t="s">
        <v>240</v>
      </c>
      <c r="E52" s="11"/>
      <c r="F52" s="222">
        <v>1000</v>
      </c>
      <c r="G52" s="156">
        <v>1000</v>
      </c>
      <c r="H52" s="147">
        <v>1000</v>
      </c>
    </row>
    <row r="53" spans="1:8" x14ac:dyDescent="0.2">
      <c r="A53" s="19"/>
      <c r="B53" s="10"/>
      <c r="E53" s="11"/>
      <c r="F53" s="158"/>
      <c r="G53" s="163"/>
      <c r="H53" s="96"/>
    </row>
    <row r="54" spans="1:8" x14ac:dyDescent="0.2">
      <c r="A54" s="19"/>
      <c r="B54" s="7" t="s">
        <v>242</v>
      </c>
      <c r="E54" s="11"/>
      <c r="F54" s="163"/>
      <c r="G54" s="96"/>
      <c r="H54" s="96"/>
    </row>
    <row r="55" spans="1:8" x14ac:dyDescent="0.2">
      <c r="A55" s="19"/>
      <c r="B55" s="2" t="s">
        <v>243</v>
      </c>
      <c r="F55" s="197" t="s">
        <v>4</v>
      </c>
      <c r="G55" s="132" t="s">
        <v>4</v>
      </c>
      <c r="H55" s="132" t="s">
        <v>4</v>
      </c>
    </row>
    <row r="56" spans="1:8" x14ac:dyDescent="0.2">
      <c r="A56" s="19"/>
      <c r="B56" s="2" t="s">
        <v>244</v>
      </c>
      <c r="F56" s="197">
        <v>1000</v>
      </c>
      <c r="G56" s="132">
        <v>1000</v>
      </c>
      <c r="H56" s="132">
        <v>1000</v>
      </c>
    </row>
    <row r="57" spans="1:8" x14ac:dyDescent="0.2">
      <c r="A57" s="19"/>
      <c r="B57" s="2" t="s">
        <v>285</v>
      </c>
      <c r="F57" s="197">
        <v>230</v>
      </c>
      <c r="G57" s="132">
        <v>245</v>
      </c>
      <c r="H57" s="132">
        <v>260</v>
      </c>
    </row>
    <row r="58" spans="1:8" x14ac:dyDescent="0.2">
      <c r="A58" s="19"/>
      <c r="B58" s="2" t="s">
        <v>246</v>
      </c>
      <c r="F58" s="197">
        <v>230</v>
      </c>
      <c r="G58" s="132">
        <v>230</v>
      </c>
      <c r="H58" s="132">
        <v>230</v>
      </c>
    </row>
    <row r="59" spans="1:8" ht="13.5" thickBot="1" x14ac:dyDescent="0.25">
      <c r="A59" s="19"/>
      <c r="B59" s="2" t="s">
        <v>245</v>
      </c>
      <c r="F59" s="191">
        <v>175</v>
      </c>
      <c r="G59" s="141">
        <v>185</v>
      </c>
      <c r="H59" s="141">
        <v>195</v>
      </c>
    </row>
    <row r="60" spans="1:8" ht="13.5" thickBot="1" x14ac:dyDescent="0.25">
      <c r="A60" s="21"/>
      <c r="B60" s="22"/>
      <c r="C60" s="22"/>
      <c r="D60" s="22"/>
      <c r="E60" s="58"/>
      <c r="F60" s="217"/>
      <c r="G60" s="218"/>
      <c r="H60" s="218"/>
    </row>
    <row r="61" spans="1:8" ht="13.5" thickBot="1" x14ac:dyDescent="0.25">
      <c r="A61" s="148" t="s">
        <v>363</v>
      </c>
      <c r="B61" s="70"/>
      <c r="C61" s="70"/>
      <c r="D61" s="70"/>
      <c r="E61" s="71"/>
      <c r="F61" s="90" t="str">
        <f>+F3</f>
        <v>2016/2017</v>
      </c>
      <c r="G61" s="90" t="str">
        <f>+G3</f>
        <v>2017/2018</v>
      </c>
      <c r="H61" s="90" t="str">
        <f>+H3</f>
        <v>2018/2019</v>
      </c>
    </row>
    <row r="62" spans="1:8" x14ac:dyDescent="0.2">
      <c r="A62" s="146"/>
      <c r="B62" s="7" t="s">
        <v>247</v>
      </c>
      <c r="C62" s="7"/>
      <c r="D62" s="7"/>
      <c r="E62" s="8"/>
      <c r="F62" s="199"/>
      <c r="G62" s="101"/>
      <c r="H62" s="101"/>
    </row>
    <row r="63" spans="1:8" ht="15.75" customHeight="1" x14ac:dyDescent="0.2">
      <c r="A63" s="19"/>
      <c r="B63" s="2" t="s">
        <v>248</v>
      </c>
      <c r="D63" s="25" t="s">
        <v>217</v>
      </c>
      <c r="E63" s="8"/>
      <c r="F63" s="200">
        <v>110.63432000000002</v>
      </c>
      <c r="G63" s="129">
        <v>118.38</v>
      </c>
      <c r="H63" s="129">
        <f>+G63*1.06</f>
        <v>125.4828</v>
      </c>
    </row>
    <row r="64" spans="1:8" x14ac:dyDescent="0.2">
      <c r="A64" s="19"/>
      <c r="B64" s="2" t="s">
        <v>252</v>
      </c>
      <c r="D64" s="25" t="s">
        <v>249</v>
      </c>
      <c r="E64" s="28"/>
      <c r="F64" s="156">
        <v>110.63432000000002</v>
      </c>
      <c r="G64" s="128">
        <v>118.38</v>
      </c>
      <c r="H64" s="129">
        <f t="shared" ref="H64:H77" si="0">+G64*1.06</f>
        <v>125.4828</v>
      </c>
    </row>
    <row r="65" spans="1:22" x14ac:dyDescent="0.2">
      <c r="A65" s="19"/>
      <c r="B65" s="2" t="s">
        <v>252</v>
      </c>
      <c r="D65" s="25" t="s">
        <v>250</v>
      </c>
      <c r="E65" s="28"/>
      <c r="F65" s="156">
        <v>165.38120000000004</v>
      </c>
      <c r="G65" s="128">
        <v>176.96</v>
      </c>
      <c r="H65" s="129">
        <f t="shared" si="0"/>
        <v>187.57760000000002</v>
      </c>
    </row>
    <row r="66" spans="1:22" x14ac:dyDescent="0.2">
      <c r="A66" s="19"/>
      <c r="B66" s="2" t="s">
        <v>252</v>
      </c>
      <c r="D66" s="25" t="s">
        <v>251</v>
      </c>
      <c r="E66" s="28"/>
      <c r="F66" s="156">
        <v>59</v>
      </c>
      <c r="G66" s="128">
        <v>63.13</v>
      </c>
      <c r="H66" s="129">
        <f t="shared" si="0"/>
        <v>66.9178</v>
      </c>
    </row>
    <row r="67" spans="1:22" x14ac:dyDescent="0.2">
      <c r="A67" s="19"/>
      <c r="B67" s="2" t="s">
        <v>253</v>
      </c>
      <c r="D67" s="25" t="s">
        <v>250</v>
      </c>
      <c r="E67" s="28"/>
      <c r="F67" s="156">
        <v>59</v>
      </c>
      <c r="G67" s="128">
        <v>63.13</v>
      </c>
      <c r="H67" s="129">
        <f t="shared" si="0"/>
        <v>66.9178</v>
      </c>
    </row>
    <row r="68" spans="1:22" x14ac:dyDescent="0.2">
      <c r="A68" s="19"/>
      <c r="B68" s="2" t="s">
        <v>260</v>
      </c>
      <c r="D68" s="25" t="s">
        <v>261</v>
      </c>
      <c r="E68" s="1"/>
      <c r="F68" s="156">
        <v>110.63432</v>
      </c>
      <c r="G68" s="128">
        <v>118.38</v>
      </c>
      <c r="H68" s="129">
        <f t="shared" si="0"/>
        <v>125.4828</v>
      </c>
    </row>
    <row r="69" spans="1:22" x14ac:dyDescent="0.2">
      <c r="A69" s="19"/>
      <c r="B69" s="2"/>
      <c r="D69" s="25"/>
      <c r="E69" s="28"/>
      <c r="F69" s="156">
        <v>165.38120000000001</v>
      </c>
      <c r="G69" s="128">
        <v>176.96</v>
      </c>
      <c r="H69" s="129">
        <f t="shared" si="0"/>
        <v>187.57760000000002</v>
      </c>
    </row>
    <row r="70" spans="1:22" x14ac:dyDescent="0.2">
      <c r="A70" s="19"/>
      <c r="B70" s="7" t="s">
        <v>254</v>
      </c>
      <c r="E70" s="28"/>
      <c r="F70" s="156">
        <v>552.38461360000008</v>
      </c>
      <c r="G70" s="128">
        <v>591.04999999999995</v>
      </c>
      <c r="H70" s="129">
        <f t="shared" si="0"/>
        <v>626.51300000000003</v>
      </c>
    </row>
    <row r="71" spans="1:22" x14ac:dyDescent="0.2">
      <c r="A71" s="19"/>
      <c r="B71" s="2" t="s">
        <v>248</v>
      </c>
      <c r="D71" s="25" t="s">
        <v>217</v>
      </c>
      <c r="E71" s="28"/>
      <c r="F71" s="156">
        <v>14</v>
      </c>
      <c r="G71" s="128">
        <v>14.98</v>
      </c>
      <c r="H71" s="129">
        <f t="shared" si="0"/>
        <v>15.878800000000002</v>
      </c>
    </row>
    <row r="72" spans="1:22" x14ac:dyDescent="0.2">
      <c r="A72" s="19"/>
      <c r="B72" s="2" t="s">
        <v>252</v>
      </c>
      <c r="D72" s="25" t="s">
        <v>249</v>
      </c>
      <c r="E72" s="28"/>
      <c r="F72" s="156">
        <v>409</v>
      </c>
      <c r="G72" s="128">
        <v>437.63</v>
      </c>
      <c r="H72" s="129">
        <f t="shared" si="0"/>
        <v>463.88780000000003</v>
      </c>
    </row>
    <row r="73" spans="1:22" x14ac:dyDescent="0.2">
      <c r="A73" s="19"/>
      <c r="B73" s="2" t="s">
        <v>252</v>
      </c>
      <c r="D73" s="25" t="s">
        <v>250</v>
      </c>
      <c r="E73" s="28"/>
      <c r="F73" s="156">
        <v>110.63432</v>
      </c>
      <c r="G73" s="128">
        <v>118.38</v>
      </c>
      <c r="H73" s="129">
        <f t="shared" si="0"/>
        <v>125.4828</v>
      </c>
    </row>
    <row r="74" spans="1:22" x14ac:dyDescent="0.2">
      <c r="A74" s="19"/>
      <c r="B74" s="2" t="s">
        <v>252</v>
      </c>
      <c r="D74" s="25" t="s">
        <v>251</v>
      </c>
      <c r="E74" s="28"/>
      <c r="F74" s="156">
        <v>552.38461360000008</v>
      </c>
      <c r="G74" s="128">
        <v>591.04999999999995</v>
      </c>
      <c r="H74" s="129">
        <f t="shared" si="0"/>
        <v>626.51300000000003</v>
      </c>
    </row>
    <row r="75" spans="1:22" x14ac:dyDescent="0.2">
      <c r="A75" s="19"/>
      <c r="B75" s="2"/>
      <c r="D75" s="25"/>
      <c r="E75" s="28"/>
      <c r="F75" s="156">
        <v>1305.6560600000003</v>
      </c>
      <c r="G75" s="128">
        <v>1397.05</v>
      </c>
      <c r="H75" s="129">
        <f t="shared" si="0"/>
        <v>1480.873</v>
      </c>
    </row>
    <row r="76" spans="1:22" x14ac:dyDescent="0.2">
      <c r="A76" s="19"/>
      <c r="B76" s="7" t="s">
        <v>202</v>
      </c>
      <c r="F76" s="156">
        <v>1140.5600000000002</v>
      </c>
      <c r="G76" s="128">
        <v>1220.4000000000001</v>
      </c>
      <c r="H76" s="129">
        <f t="shared" si="0"/>
        <v>1293.6240000000003</v>
      </c>
    </row>
    <row r="77" spans="1:22" x14ac:dyDescent="0.2">
      <c r="A77" s="19"/>
      <c r="B77" s="2" t="s">
        <v>257</v>
      </c>
      <c r="D77" s="25" t="s">
        <v>217</v>
      </c>
      <c r="E77" s="1"/>
      <c r="F77" s="156">
        <v>409</v>
      </c>
      <c r="G77" s="128">
        <v>437.63</v>
      </c>
      <c r="H77" s="129">
        <f t="shared" si="0"/>
        <v>463.88780000000003</v>
      </c>
      <c r="O77" s="48"/>
      <c r="P77" s="1"/>
      <c r="Q77" s="18"/>
    </row>
    <row r="78" spans="1:22" x14ac:dyDescent="0.2">
      <c r="A78" s="19"/>
      <c r="B78" s="2" t="s">
        <v>271</v>
      </c>
      <c r="D78" s="25" t="s">
        <v>217</v>
      </c>
      <c r="E78" s="1"/>
      <c r="F78" s="163"/>
      <c r="G78" s="96"/>
      <c r="H78" s="96"/>
      <c r="O78" s="48"/>
      <c r="Q78" s="18"/>
    </row>
    <row r="79" spans="1:22" x14ac:dyDescent="0.2">
      <c r="A79" s="19"/>
      <c r="B79" s="2" t="s">
        <v>258</v>
      </c>
      <c r="D79" s="25" t="s">
        <v>217</v>
      </c>
      <c r="E79" s="1"/>
      <c r="F79" s="163"/>
      <c r="G79" s="96"/>
      <c r="H79" s="96"/>
      <c r="P79" t="s">
        <v>125</v>
      </c>
      <c r="R79">
        <v>50</v>
      </c>
      <c r="V79" s="28" t="e">
        <f>+G95*1.06</f>
        <v>#VALUE!</v>
      </c>
    </row>
    <row r="80" spans="1:22" x14ac:dyDescent="0.2">
      <c r="A80" s="19"/>
      <c r="B80" s="2" t="s">
        <v>259</v>
      </c>
      <c r="D80" s="25" t="s">
        <v>217</v>
      </c>
      <c r="E80" s="1"/>
      <c r="F80" s="163"/>
      <c r="G80" s="96"/>
      <c r="H80" s="96"/>
      <c r="V80" s="28"/>
    </row>
    <row r="81" spans="1:8" x14ac:dyDescent="0.2">
      <c r="A81" s="19"/>
      <c r="B81" s="2" t="s">
        <v>255</v>
      </c>
      <c r="D81" s="25" t="s">
        <v>256</v>
      </c>
      <c r="E81" s="1"/>
      <c r="F81" s="163"/>
      <c r="G81" s="96"/>
      <c r="H81" s="96"/>
    </row>
    <row r="82" spans="1:8" x14ac:dyDescent="0.2">
      <c r="A82" s="19"/>
      <c r="B82" s="2"/>
      <c r="D82" s="25"/>
      <c r="E82" s="1"/>
      <c r="F82" s="156">
        <v>102.65040000000002</v>
      </c>
      <c r="G82" s="128">
        <v>109.84</v>
      </c>
      <c r="H82" s="128">
        <f>+G82*1.06</f>
        <v>116.43040000000001</v>
      </c>
    </row>
    <row r="83" spans="1:8" x14ac:dyDescent="0.2">
      <c r="A83" s="146" t="s">
        <v>262</v>
      </c>
      <c r="E83" s="14"/>
      <c r="F83" s="156">
        <v>182.48960000000002</v>
      </c>
      <c r="G83" s="128">
        <v>195.26</v>
      </c>
      <c r="H83" s="128">
        <f t="shared" ref="H83:H84" si="1">+G83*1.06</f>
        <v>206.97560000000001</v>
      </c>
    </row>
    <row r="84" spans="1:8" x14ac:dyDescent="0.2">
      <c r="A84" s="146"/>
      <c r="B84" s="7" t="s">
        <v>247</v>
      </c>
      <c r="E84" s="14"/>
      <c r="F84" s="156">
        <v>285.14000000000004</v>
      </c>
      <c r="G84" s="128">
        <v>305.10000000000002</v>
      </c>
      <c r="H84" s="128">
        <f t="shared" si="1"/>
        <v>323.40600000000006</v>
      </c>
    </row>
    <row r="85" spans="1:8" ht="12.75" customHeight="1" x14ac:dyDescent="0.2">
      <c r="A85" s="19"/>
      <c r="B85" s="2" t="s">
        <v>263</v>
      </c>
      <c r="D85" s="25" t="s">
        <v>264</v>
      </c>
      <c r="E85" s="1"/>
      <c r="F85" s="163"/>
      <c r="G85" s="96"/>
      <c r="H85" s="96"/>
    </row>
    <row r="86" spans="1:8" ht="12.75" customHeight="1" x14ac:dyDescent="0.2">
      <c r="A86" s="19"/>
      <c r="B86" s="2" t="s">
        <v>260</v>
      </c>
      <c r="D86" s="25" t="s">
        <v>264</v>
      </c>
      <c r="E86" s="1"/>
      <c r="F86" s="163"/>
      <c r="G86" s="96"/>
      <c r="H86" s="96"/>
    </row>
    <row r="87" spans="1:8" ht="12.75" customHeight="1" x14ac:dyDescent="0.2">
      <c r="A87" s="19"/>
      <c r="B87" s="2"/>
      <c r="E87" s="1"/>
      <c r="F87" s="163"/>
      <c r="G87" s="96"/>
      <c r="H87" s="96"/>
    </row>
    <row r="88" spans="1:8" ht="12.75" customHeight="1" x14ac:dyDescent="0.2">
      <c r="A88" s="19"/>
      <c r="B88" s="7" t="s">
        <v>265</v>
      </c>
      <c r="E88" s="1"/>
      <c r="F88" s="201"/>
      <c r="G88" s="104"/>
      <c r="H88" s="104"/>
    </row>
    <row r="89" spans="1:8" ht="12.75" customHeight="1" x14ac:dyDescent="0.2">
      <c r="A89" s="19"/>
      <c r="B89" s="2" t="s">
        <v>266</v>
      </c>
      <c r="D89" s="25" t="s">
        <v>264</v>
      </c>
      <c r="E89" s="1"/>
      <c r="F89" s="156">
        <v>69.01464</v>
      </c>
      <c r="G89" s="128">
        <v>73.849999999999994</v>
      </c>
      <c r="H89" s="128">
        <f>+G89*1.095</f>
        <v>80.865749999999991</v>
      </c>
    </row>
    <row r="90" spans="1:8" ht="12.75" customHeight="1" x14ac:dyDescent="0.2">
      <c r="A90" s="19"/>
      <c r="B90" s="2"/>
      <c r="E90" s="1"/>
      <c r="F90" s="156">
        <v>4.4116</v>
      </c>
      <c r="G90" s="128">
        <v>4.72</v>
      </c>
      <c r="H90" s="128">
        <f>+G90*1.095</f>
        <v>5.1683999999999992</v>
      </c>
    </row>
    <row r="91" spans="1:8" ht="12.75" customHeight="1" x14ac:dyDescent="0.2">
      <c r="A91" s="19"/>
      <c r="B91" s="7" t="s">
        <v>202</v>
      </c>
      <c r="E91" s="1"/>
      <c r="F91" s="156">
        <v>5.7458400000000003</v>
      </c>
      <c r="G91" s="128">
        <v>6.15</v>
      </c>
      <c r="H91" s="128">
        <f>+G91*1.095</f>
        <v>6.7342500000000003</v>
      </c>
    </row>
    <row r="92" spans="1:8" ht="12.75" customHeight="1" x14ac:dyDescent="0.2">
      <c r="A92" s="19"/>
      <c r="B92" s="2" t="s">
        <v>257</v>
      </c>
      <c r="D92" s="25" t="s">
        <v>264</v>
      </c>
      <c r="E92" s="1"/>
      <c r="F92" s="156">
        <v>6.3161200000000006</v>
      </c>
      <c r="G92" s="128">
        <v>6.76</v>
      </c>
      <c r="H92" s="128">
        <f>+G92*1.095</f>
        <v>7.4021999999999997</v>
      </c>
    </row>
    <row r="93" spans="1:8" ht="12.75" customHeight="1" x14ac:dyDescent="0.2">
      <c r="A93" s="19"/>
      <c r="B93" s="2" t="s">
        <v>271</v>
      </c>
      <c r="D93" s="25" t="s">
        <v>264</v>
      </c>
      <c r="E93" s="1"/>
      <c r="F93" s="156">
        <v>7.4889600000000005</v>
      </c>
      <c r="G93" s="128">
        <v>8.01</v>
      </c>
      <c r="H93" s="128">
        <f>+G93*1.115</f>
        <v>8.9311499999999988</v>
      </c>
    </row>
    <row r="94" spans="1:8" ht="12.75" customHeight="1" x14ac:dyDescent="0.2">
      <c r="A94" s="19"/>
      <c r="B94" s="2" t="s">
        <v>258</v>
      </c>
      <c r="D94" s="25" t="s">
        <v>264</v>
      </c>
      <c r="E94" s="1"/>
      <c r="F94" s="156"/>
      <c r="G94" s="128"/>
      <c r="H94" s="128"/>
    </row>
    <row r="95" spans="1:8" ht="12.75" customHeight="1" x14ac:dyDescent="0.2">
      <c r="A95" s="19"/>
      <c r="B95" s="2" t="s">
        <v>259</v>
      </c>
      <c r="D95" s="25" t="s">
        <v>264</v>
      </c>
      <c r="E95" s="14"/>
      <c r="F95" s="197" t="s">
        <v>4</v>
      </c>
      <c r="G95" s="132" t="s">
        <v>4</v>
      </c>
      <c r="H95" s="132" t="s">
        <v>4</v>
      </c>
    </row>
    <row r="96" spans="1:8" ht="12.75" customHeight="1" x14ac:dyDescent="0.2">
      <c r="A96" s="19"/>
      <c r="B96" s="2" t="s">
        <v>267</v>
      </c>
      <c r="D96" s="25" t="s">
        <v>268</v>
      </c>
      <c r="E96" s="1"/>
      <c r="F96" s="156">
        <v>175</v>
      </c>
      <c r="G96" s="128">
        <v>185</v>
      </c>
      <c r="H96" s="128">
        <v>195</v>
      </c>
    </row>
    <row r="97" spans="1:8" ht="12.75" customHeight="1" x14ac:dyDescent="0.2">
      <c r="A97" s="19"/>
      <c r="B97" s="2"/>
      <c r="D97" s="25"/>
      <c r="E97" s="1"/>
      <c r="F97" s="163"/>
      <c r="G97" s="96"/>
      <c r="H97" s="96"/>
    </row>
    <row r="98" spans="1:8" ht="16.5" customHeight="1" x14ac:dyDescent="0.2">
      <c r="A98" s="146" t="s">
        <v>300</v>
      </c>
      <c r="B98" s="2"/>
      <c r="C98" s="7"/>
      <c r="D98" s="7"/>
      <c r="E98" s="8"/>
      <c r="F98" s="163"/>
      <c r="G98" s="96"/>
      <c r="H98" s="96"/>
    </row>
    <row r="99" spans="1:8" ht="16.5" customHeight="1" x14ac:dyDescent="0.2">
      <c r="A99" s="17"/>
      <c r="B99" s="7" t="s">
        <v>240</v>
      </c>
      <c r="C99" s="7"/>
      <c r="D99" s="7"/>
      <c r="E99" s="8"/>
      <c r="F99" s="163"/>
      <c r="G99" s="96"/>
      <c r="H99" s="96"/>
    </row>
    <row r="100" spans="1:8" ht="16.5" customHeight="1" x14ac:dyDescent="0.2">
      <c r="A100" s="19"/>
      <c r="B100" s="2" t="s">
        <v>216</v>
      </c>
      <c r="E100" s="12"/>
      <c r="F100" s="163"/>
      <c r="G100" s="96"/>
      <c r="H100" s="96"/>
    </row>
    <row r="101" spans="1:8" x14ac:dyDescent="0.2">
      <c r="A101" s="19"/>
      <c r="B101" s="2" t="s">
        <v>272</v>
      </c>
      <c r="D101" s="25" t="s">
        <v>269</v>
      </c>
      <c r="E101" s="12"/>
      <c r="F101" s="156">
        <v>2500</v>
      </c>
      <c r="G101" s="156">
        <v>2500</v>
      </c>
      <c r="H101" s="147">
        <v>2800</v>
      </c>
    </row>
    <row r="102" spans="1:8" x14ac:dyDescent="0.2">
      <c r="A102" s="19"/>
      <c r="B102" s="2" t="s">
        <v>273</v>
      </c>
      <c r="D102" s="25" t="s">
        <v>269</v>
      </c>
      <c r="E102" s="12"/>
      <c r="F102" s="156">
        <v>6000</v>
      </c>
      <c r="G102" s="156">
        <v>6000</v>
      </c>
      <c r="H102" s="147">
        <v>6300</v>
      </c>
    </row>
    <row r="103" spans="1:8" x14ac:dyDescent="0.2">
      <c r="A103" s="19"/>
      <c r="B103" s="2" t="s">
        <v>274</v>
      </c>
      <c r="D103" s="25" t="s">
        <v>269</v>
      </c>
      <c r="E103" s="12"/>
      <c r="F103" s="156">
        <v>20.145302400000006</v>
      </c>
      <c r="G103" s="156">
        <f>+G93*2.5</f>
        <v>20.024999999999999</v>
      </c>
      <c r="H103" s="147">
        <v>22.32</v>
      </c>
    </row>
    <row r="104" spans="1:8" x14ac:dyDescent="0.2">
      <c r="A104" s="19"/>
      <c r="B104" s="2" t="s">
        <v>275</v>
      </c>
      <c r="D104" s="25" t="s">
        <v>269</v>
      </c>
      <c r="E104" s="12"/>
      <c r="F104" s="163"/>
      <c r="G104" s="163"/>
      <c r="H104" s="96"/>
    </row>
    <row r="105" spans="1:8" x14ac:dyDescent="0.2">
      <c r="A105" s="19"/>
      <c r="B105" s="2" t="s">
        <v>260</v>
      </c>
      <c r="D105" s="25"/>
      <c r="E105" s="12"/>
      <c r="F105" s="163"/>
      <c r="G105" s="163"/>
      <c r="H105" s="96"/>
    </row>
    <row r="106" spans="1:8" ht="12.75" customHeight="1" x14ac:dyDescent="0.2">
      <c r="A106" s="19"/>
      <c r="E106" s="12"/>
      <c r="F106" s="156">
        <v>1000</v>
      </c>
      <c r="G106" s="156">
        <v>1000</v>
      </c>
      <c r="H106" s="147">
        <v>1000</v>
      </c>
    </row>
    <row r="107" spans="1:8" x14ac:dyDescent="0.2">
      <c r="A107" s="19"/>
      <c r="B107" s="7" t="s">
        <v>239</v>
      </c>
      <c r="E107" s="12"/>
      <c r="F107" s="156">
        <v>230</v>
      </c>
      <c r="G107" s="128">
        <v>245</v>
      </c>
      <c r="H107" s="128">
        <v>260</v>
      </c>
    </row>
    <row r="108" spans="1:8" x14ac:dyDescent="0.2">
      <c r="A108" s="19"/>
      <c r="B108" s="2" t="s">
        <v>240</v>
      </c>
      <c r="E108" s="1"/>
      <c r="F108" s="163"/>
      <c r="G108" s="96"/>
      <c r="H108" s="96"/>
    </row>
    <row r="109" spans="1:8" x14ac:dyDescent="0.2">
      <c r="A109" s="19"/>
      <c r="F109" s="163"/>
      <c r="G109" s="96"/>
      <c r="H109" s="96"/>
    </row>
    <row r="110" spans="1:8" x14ac:dyDescent="0.2">
      <c r="A110" s="19"/>
      <c r="B110" s="7" t="s">
        <v>241</v>
      </c>
      <c r="F110" s="156">
        <v>285</v>
      </c>
      <c r="G110" s="128">
        <v>305</v>
      </c>
      <c r="H110" s="128">
        <v>320</v>
      </c>
    </row>
    <row r="111" spans="1:8" ht="15" customHeight="1" x14ac:dyDescent="0.2">
      <c r="A111" s="19"/>
      <c r="B111" s="2" t="s">
        <v>236</v>
      </c>
      <c r="D111" s="25" t="s">
        <v>237</v>
      </c>
      <c r="E111" s="12"/>
      <c r="F111" s="163"/>
      <c r="G111" s="96"/>
      <c r="H111" s="96"/>
    </row>
    <row r="112" spans="1:8" x14ac:dyDescent="0.2">
      <c r="A112" s="19"/>
      <c r="B112" s="2" t="s">
        <v>236</v>
      </c>
      <c r="D112" s="25" t="s">
        <v>238</v>
      </c>
      <c r="E112" s="12"/>
      <c r="F112" s="161"/>
      <c r="G112" s="105"/>
      <c r="H112" s="105"/>
    </row>
    <row r="113" spans="1:8" x14ac:dyDescent="0.2">
      <c r="A113" s="20"/>
      <c r="B113" s="10"/>
      <c r="E113" s="12"/>
      <c r="F113" s="202">
        <v>1.1889800000000002E-2</v>
      </c>
      <c r="G113" s="130">
        <v>1.2722000000000001E-2</v>
      </c>
      <c r="H113" s="130">
        <v>1.0808999999999999E-2</v>
      </c>
    </row>
    <row r="114" spans="1:8" x14ac:dyDescent="0.2">
      <c r="A114" s="19"/>
      <c r="B114" s="7" t="s">
        <v>242</v>
      </c>
      <c r="E114" s="12"/>
      <c r="F114" s="202">
        <v>1.1889800000000002E-2</v>
      </c>
      <c r="G114" s="130">
        <v>1.2722000000000001E-2</v>
      </c>
      <c r="H114" s="130">
        <v>1.0808999999999999E-2</v>
      </c>
    </row>
    <row r="115" spans="1:8" x14ac:dyDescent="0.2">
      <c r="A115" s="19"/>
      <c r="B115" s="2" t="s">
        <v>243</v>
      </c>
      <c r="F115" s="202">
        <v>1.1889800000000002E-2</v>
      </c>
      <c r="G115" s="130">
        <v>1.2722000000000001E-2</v>
      </c>
      <c r="H115" s="130">
        <v>1.0808999999999999E-2</v>
      </c>
    </row>
    <row r="116" spans="1:8" x14ac:dyDescent="0.2">
      <c r="A116" s="19"/>
      <c r="B116" s="2" t="s">
        <v>244</v>
      </c>
      <c r="F116" s="202">
        <v>7.2522400000000001E-4</v>
      </c>
      <c r="G116" s="130">
        <v>7.76E-4</v>
      </c>
      <c r="H116" s="130">
        <v>5.0500000000000002E-4</v>
      </c>
    </row>
    <row r="117" spans="1:8" x14ac:dyDescent="0.2">
      <c r="A117" s="19"/>
      <c r="B117" s="2" t="s">
        <v>284</v>
      </c>
      <c r="F117" s="202">
        <v>1.1889800000000002E-2</v>
      </c>
      <c r="G117" s="130">
        <v>1.2722000000000001E-2</v>
      </c>
      <c r="H117" s="130">
        <v>1.0808999999999999E-2</v>
      </c>
    </row>
    <row r="118" spans="1:8" x14ac:dyDescent="0.2">
      <c r="A118" s="19"/>
      <c r="B118" s="2" t="s">
        <v>276</v>
      </c>
      <c r="F118" s="203"/>
      <c r="G118" s="131"/>
      <c r="H118" s="131"/>
    </row>
    <row r="119" spans="1:8" ht="13.5" thickBot="1" x14ac:dyDescent="0.25">
      <c r="A119" s="21"/>
      <c r="B119" s="149"/>
      <c r="C119" s="22"/>
      <c r="D119" s="22"/>
      <c r="E119" s="150"/>
      <c r="F119" s="203"/>
      <c r="G119" s="131"/>
      <c r="H119" s="131"/>
    </row>
    <row r="120" spans="1:8" ht="14.25" customHeight="1" x14ac:dyDescent="0.2">
      <c r="A120" s="148" t="s">
        <v>277</v>
      </c>
      <c r="B120" s="70"/>
      <c r="C120" s="70"/>
      <c r="D120" s="70"/>
      <c r="E120" s="71"/>
      <c r="F120" s="156"/>
      <c r="G120" s="128"/>
      <c r="H120" s="128"/>
    </row>
    <row r="121" spans="1:8" ht="17.25" customHeight="1" x14ac:dyDescent="0.2">
      <c r="A121" s="19"/>
      <c r="B121" s="2" t="s">
        <v>278</v>
      </c>
      <c r="D121" s="25" t="s">
        <v>279</v>
      </c>
      <c r="F121" s="213" t="s">
        <v>378</v>
      </c>
      <c r="G121" s="214"/>
      <c r="H121" s="214"/>
    </row>
    <row r="122" spans="1:8" ht="14.25" customHeight="1" x14ac:dyDescent="0.2">
      <c r="A122" s="19"/>
      <c r="B122" s="2" t="s">
        <v>283</v>
      </c>
      <c r="D122" s="25" t="s">
        <v>279</v>
      </c>
      <c r="F122" s="204"/>
      <c r="G122" s="106"/>
      <c r="H122" s="106"/>
    </row>
    <row r="123" spans="1:8" x14ac:dyDescent="0.2">
      <c r="A123" s="19"/>
      <c r="B123" s="2" t="s">
        <v>280</v>
      </c>
      <c r="D123" s="25" t="s">
        <v>279</v>
      </c>
      <c r="F123" s="204"/>
      <c r="G123" s="106"/>
      <c r="H123" s="106"/>
    </row>
    <row r="124" spans="1:8" x14ac:dyDescent="0.2">
      <c r="A124" s="19"/>
      <c r="B124" s="2" t="s">
        <v>254</v>
      </c>
      <c r="D124" s="25" t="s">
        <v>279</v>
      </c>
      <c r="F124" s="205"/>
      <c r="G124" s="96"/>
      <c r="H124" s="93"/>
    </row>
    <row r="125" spans="1:8" ht="13.5" thickBot="1" x14ac:dyDescent="0.25">
      <c r="A125" s="19"/>
      <c r="B125" s="2" t="s">
        <v>281</v>
      </c>
      <c r="D125" s="25" t="s">
        <v>279</v>
      </c>
      <c r="F125" s="107"/>
      <c r="G125" s="100"/>
      <c r="H125" s="107"/>
    </row>
    <row r="126" spans="1:8" ht="13.5" thickBot="1" x14ac:dyDescent="0.25">
      <c r="A126" s="19"/>
      <c r="B126" s="2" t="s">
        <v>282</v>
      </c>
      <c r="D126" s="25" t="s">
        <v>279</v>
      </c>
      <c r="F126" s="208"/>
      <c r="G126" s="108"/>
      <c r="H126" s="108"/>
    </row>
    <row r="127" spans="1:8" ht="13.5" thickBot="1" x14ac:dyDescent="0.25">
      <c r="A127" s="19"/>
      <c r="B127" s="2" t="s">
        <v>286</v>
      </c>
      <c r="F127" s="89" t="str">
        <f>+F61</f>
        <v>2016/2017</v>
      </c>
      <c r="G127" s="89" t="str">
        <f>+G61</f>
        <v>2017/2018</v>
      </c>
      <c r="H127" s="89" t="str">
        <f>+H61</f>
        <v>2018/2019</v>
      </c>
    </row>
    <row r="128" spans="1:8" hidden="1" x14ac:dyDescent="0.2">
      <c r="A128" s="19"/>
      <c r="B128" s="2" t="s">
        <v>287</v>
      </c>
      <c r="F128" s="204"/>
      <c r="G128" s="106"/>
      <c r="H128" s="106"/>
    </row>
    <row r="129" spans="1:8" x14ac:dyDescent="0.2">
      <c r="A129" s="19"/>
      <c r="B129" s="2" t="s">
        <v>288</v>
      </c>
      <c r="F129" s="204"/>
      <c r="G129" s="106"/>
      <c r="H129" s="106"/>
    </row>
    <row r="130" spans="1:8" x14ac:dyDescent="0.2">
      <c r="A130" s="19"/>
      <c r="B130" s="2"/>
      <c r="F130" s="204"/>
      <c r="G130" s="106"/>
      <c r="H130" s="106"/>
    </row>
    <row r="131" spans="1:8" x14ac:dyDescent="0.2">
      <c r="A131" s="146" t="s">
        <v>289</v>
      </c>
      <c r="F131" s="205"/>
      <c r="G131" s="96"/>
      <c r="H131" s="93"/>
    </row>
    <row r="132" spans="1:8" x14ac:dyDescent="0.2">
      <c r="A132" s="19"/>
      <c r="B132" s="7" t="s">
        <v>291</v>
      </c>
      <c r="C132" s="7"/>
      <c r="D132" s="7"/>
      <c r="E132" s="8"/>
      <c r="F132" s="156">
        <v>61</v>
      </c>
      <c r="G132" s="128">
        <v>61</v>
      </c>
      <c r="H132" s="128">
        <v>61</v>
      </c>
    </row>
    <row r="133" spans="1:8" ht="15.75" customHeight="1" x14ac:dyDescent="0.2">
      <c r="A133" s="19"/>
      <c r="B133" s="2" t="s">
        <v>290</v>
      </c>
      <c r="E133" s="1"/>
      <c r="F133" s="163"/>
      <c r="G133" s="96"/>
      <c r="H133" s="96"/>
    </row>
    <row r="134" spans="1:8" x14ac:dyDescent="0.2">
      <c r="A134" s="19"/>
      <c r="F134" s="161"/>
      <c r="G134" s="105"/>
      <c r="H134" s="105"/>
    </row>
    <row r="135" spans="1:8" x14ac:dyDescent="0.2">
      <c r="A135" s="19"/>
      <c r="B135" s="7" t="s">
        <v>292</v>
      </c>
      <c r="C135" s="7"/>
      <c r="D135" s="7"/>
      <c r="E135" s="8"/>
      <c r="F135" s="156">
        <v>117</v>
      </c>
      <c r="G135" s="128">
        <v>126</v>
      </c>
      <c r="H135" s="128">
        <v>130</v>
      </c>
    </row>
    <row r="136" spans="1:8" ht="15.75" customHeight="1" x14ac:dyDescent="0.2">
      <c r="A136" s="19"/>
      <c r="B136" s="2" t="s">
        <v>295</v>
      </c>
      <c r="E136" s="1"/>
      <c r="F136" s="156">
        <v>31</v>
      </c>
      <c r="G136" s="128">
        <v>34</v>
      </c>
      <c r="H136" s="128">
        <v>36</v>
      </c>
    </row>
    <row r="137" spans="1:8" x14ac:dyDescent="0.2">
      <c r="A137" s="19"/>
      <c r="B137" s="2" t="s">
        <v>296</v>
      </c>
      <c r="E137" s="1"/>
      <c r="F137" s="156">
        <v>14</v>
      </c>
      <c r="G137" s="128">
        <v>15</v>
      </c>
      <c r="H137" s="128">
        <v>16</v>
      </c>
    </row>
    <row r="138" spans="1:8" x14ac:dyDescent="0.2">
      <c r="A138" s="19"/>
      <c r="B138" s="2" t="s">
        <v>297</v>
      </c>
      <c r="E138" s="1"/>
      <c r="F138" s="163"/>
      <c r="G138" s="96"/>
      <c r="H138" s="96"/>
    </row>
    <row r="139" spans="1:8" x14ac:dyDescent="0.2">
      <c r="A139" s="19"/>
      <c r="F139" s="161"/>
      <c r="G139" s="105"/>
      <c r="H139" s="105"/>
    </row>
    <row r="140" spans="1:8" x14ac:dyDescent="0.2">
      <c r="A140" s="19"/>
      <c r="B140" s="7" t="s">
        <v>293</v>
      </c>
      <c r="C140" s="7"/>
      <c r="D140" s="7"/>
      <c r="E140" s="8"/>
      <c r="F140" s="156">
        <v>4.3899999999999997</v>
      </c>
      <c r="G140" s="128">
        <v>4.3899999999999997</v>
      </c>
      <c r="H140" s="128">
        <v>4.3899999999999997</v>
      </c>
    </row>
    <row r="141" spans="1:8" ht="16.5" customHeight="1" x14ac:dyDescent="0.2">
      <c r="A141" s="19"/>
      <c r="B141" s="2" t="s">
        <v>298</v>
      </c>
      <c r="E141" s="15"/>
      <c r="F141" s="156">
        <v>122.81</v>
      </c>
      <c r="G141" s="128">
        <v>122.81</v>
      </c>
      <c r="H141" s="128">
        <v>122.81</v>
      </c>
    </row>
    <row r="142" spans="1:8" x14ac:dyDescent="0.2">
      <c r="A142" s="19"/>
      <c r="B142" s="2" t="s">
        <v>299</v>
      </c>
      <c r="E142" s="15"/>
      <c r="F142" s="163"/>
      <c r="G142" s="96"/>
      <c r="H142" s="96"/>
    </row>
    <row r="143" spans="1:8" x14ac:dyDescent="0.2">
      <c r="A143" s="19"/>
      <c r="E143" s="4"/>
      <c r="F143" s="161"/>
      <c r="G143" s="105"/>
      <c r="H143" s="105"/>
    </row>
    <row r="144" spans="1:8" x14ac:dyDescent="0.2">
      <c r="A144" s="19"/>
      <c r="B144" s="7" t="s">
        <v>294</v>
      </c>
      <c r="C144" s="7"/>
      <c r="D144" s="7"/>
      <c r="E144" s="8"/>
      <c r="F144" s="156">
        <v>0</v>
      </c>
      <c r="G144" s="128">
        <v>0</v>
      </c>
      <c r="H144" s="128">
        <v>0</v>
      </c>
    </row>
    <row r="145" spans="1:8" ht="13.5" customHeight="1" x14ac:dyDescent="0.2">
      <c r="A145" s="19"/>
      <c r="B145" s="2" t="s">
        <v>301</v>
      </c>
      <c r="E145" s="15"/>
      <c r="F145" s="156">
        <v>0</v>
      </c>
      <c r="G145" s="128">
        <v>0</v>
      </c>
      <c r="H145" s="128">
        <v>0</v>
      </c>
    </row>
    <row r="146" spans="1:8" x14ac:dyDescent="0.2">
      <c r="A146" s="19"/>
      <c r="B146" s="2" t="s">
        <v>302</v>
      </c>
      <c r="E146" s="15"/>
      <c r="F146" s="156">
        <v>0</v>
      </c>
      <c r="G146" s="128">
        <v>0</v>
      </c>
      <c r="H146" s="128">
        <v>0</v>
      </c>
    </row>
    <row r="147" spans="1:8" x14ac:dyDescent="0.2">
      <c r="A147" s="19"/>
      <c r="B147" s="2" t="s">
        <v>303</v>
      </c>
      <c r="E147" s="15"/>
      <c r="F147" s="163"/>
      <c r="G147" s="96"/>
      <c r="H147" s="96"/>
    </row>
    <row r="148" spans="1:8" x14ac:dyDescent="0.2">
      <c r="A148" s="19"/>
      <c r="F148" s="205"/>
      <c r="G148" s="96"/>
      <c r="H148" s="93"/>
    </row>
    <row r="149" spans="1:8" ht="15.75" customHeight="1" x14ac:dyDescent="0.2">
      <c r="A149" s="19"/>
      <c r="B149" s="7" t="s">
        <v>304</v>
      </c>
      <c r="C149" s="7"/>
      <c r="D149" s="7"/>
      <c r="E149" s="8"/>
      <c r="F149" s="161"/>
      <c r="G149" s="105"/>
      <c r="H149" s="105"/>
    </row>
    <row r="150" spans="1:8" ht="12.75" customHeight="1" x14ac:dyDescent="0.2">
      <c r="A150" s="19"/>
      <c r="B150" s="7" t="s">
        <v>307</v>
      </c>
      <c r="C150" s="7"/>
      <c r="D150" s="7"/>
      <c r="E150" s="8"/>
      <c r="F150" s="156">
        <v>1140</v>
      </c>
      <c r="G150" s="128">
        <v>1220</v>
      </c>
      <c r="H150" s="128">
        <v>1295</v>
      </c>
    </row>
    <row r="151" spans="1:8" ht="12.75" customHeight="1" x14ac:dyDescent="0.2">
      <c r="A151" s="19"/>
      <c r="B151" s="2" t="s">
        <v>305</v>
      </c>
      <c r="E151" s="15"/>
      <c r="F151" s="156">
        <v>365</v>
      </c>
      <c r="G151" s="128">
        <v>390</v>
      </c>
      <c r="H151" s="128">
        <v>415</v>
      </c>
    </row>
    <row r="152" spans="1:8" x14ac:dyDescent="0.2">
      <c r="A152" s="19"/>
      <c r="B152" t="s">
        <v>25</v>
      </c>
      <c r="E152" s="15"/>
      <c r="F152" s="156">
        <v>117</v>
      </c>
      <c r="G152" s="128">
        <v>125</v>
      </c>
      <c r="H152" s="128">
        <v>133</v>
      </c>
    </row>
    <row r="153" spans="1:8" x14ac:dyDescent="0.2">
      <c r="A153" s="19"/>
      <c r="B153" s="2" t="s">
        <v>306</v>
      </c>
      <c r="E153" s="15"/>
      <c r="F153" s="163"/>
      <c r="G153" s="96"/>
      <c r="H153" s="96"/>
    </row>
    <row r="154" spans="1:8" x14ac:dyDescent="0.2">
      <c r="A154" s="19"/>
      <c r="E154" s="15"/>
      <c r="F154" s="163"/>
      <c r="G154" s="96"/>
      <c r="H154" s="96"/>
    </row>
    <row r="155" spans="1:8" x14ac:dyDescent="0.2">
      <c r="A155" s="19"/>
      <c r="B155" s="7" t="s">
        <v>308</v>
      </c>
      <c r="E155" s="15"/>
      <c r="F155" s="156">
        <v>1710</v>
      </c>
      <c r="G155" s="128">
        <v>1830</v>
      </c>
      <c r="H155" s="128">
        <v>1940</v>
      </c>
    </row>
    <row r="156" spans="1:8" x14ac:dyDescent="0.2">
      <c r="A156" s="19"/>
      <c r="B156" s="2" t="s">
        <v>309</v>
      </c>
      <c r="E156" s="15"/>
      <c r="F156" s="156">
        <v>114</v>
      </c>
      <c r="G156" s="128">
        <v>122</v>
      </c>
      <c r="H156" s="128">
        <v>130</v>
      </c>
    </row>
    <row r="157" spans="1:8" x14ac:dyDescent="0.2">
      <c r="A157" s="19"/>
      <c r="B157" s="2" t="s">
        <v>310</v>
      </c>
      <c r="D157" s="2"/>
      <c r="E157" s="15"/>
      <c r="F157" s="156">
        <v>915</v>
      </c>
      <c r="G157" s="128">
        <v>980</v>
      </c>
      <c r="H157" s="128">
        <v>1040</v>
      </c>
    </row>
    <row r="158" spans="1:8" x14ac:dyDescent="0.2">
      <c r="A158" s="19"/>
      <c r="B158" s="2" t="s">
        <v>121</v>
      </c>
      <c r="E158" s="15"/>
      <c r="F158" s="163"/>
      <c r="G158" s="96"/>
      <c r="H158" s="96"/>
    </row>
    <row r="159" spans="1:8" ht="12" customHeight="1" x14ac:dyDescent="0.2">
      <c r="A159" s="19"/>
      <c r="E159" s="4"/>
      <c r="F159" s="161"/>
      <c r="G159" s="105"/>
      <c r="H159" s="105"/>
    </row>
    <row r="160" spans="1:8" x14ac:dyDescent="0.2">
      <c r="A160" s="19"/>
      <c r="B160" s="7" t="s">
        <v>311</v>
      </c>
      <c r="C160" s="7"/>
      <c r="D160" s="7"/>
      <c r="E160" s="8"/>
      <c r="F160" s="156">
        <v>2510</v>
      </c>
      <c r="G160" s="128">
        <v>2690</v>
      </c>
      <c r="H160" s="128">
        <v>2850</v>
      </c>
    </row>
    <row r="161" spans="1:8" ht="18.75" customHeight="1" x14ac:dyDescent="0.2">
      <c r="A161" s="19"/>
      <c r="B161" s="2" t="s">
        <v>312</v>
      </c>
      <c r="C161" s="2"/>
      <c r="E161" s="16"/>
      <c r="F161" s="156">
        <v>1370</v>
      </c>
      <c r="G161" s="128">
        <v>1470</v>
      </c>
      <c r="H161" s="128">
        <v>1560</v>
      </c>
    </row>
    <row r="162" spans="1:8" x14ac:dyDescent="0.2">
      <c r="A162" s="19"/>
      <c r="B162" s="2" t="s">
        <v>313</v>
      </c>
      <c r="C162" s="2"/>
      <c r="E162" s="3"/>
      <c r="F162" s="156">
        <v>1420</v>
      </c>
      <c r="G162" s="128">
        <v>1520</v>
      </c>
      <c r="H162" s="128">
        <v>1610</v>
      </c>
    </row>
    <row r="163" spans="1:8" x14ac:dyDescent="0.2">
      <c r="A163" s="19"/>
      <c r="B163" s="2" t="s">
        <v>314</v>
      </c>
      <c r="C163" s="2"/>
      <c r="E163" s="3"/>
      <c r="F163" s="163"/>
      <c r="G163" s="96"/>
      <c r="H163" s="96"/>
    </row>
    <row r="164" spans="1:8" x14ac:dyDescent="0.2">
      <c r="A164" s="20"/>
      <c r="B164" s="2"/>
      <c r="E164" s="3"/>
      <c r="F164" s="161"/>
      <c r="G164" s="105"/>
      <c r="H164" s="105"/>
    </row>
    <row r="165" spans="1:8" x14ac:dyDescent="0.2">
      <c r="A165" s="19"/>
      <c r="B165" s="7" t="s">
        <v>315</v>
      </c>
      <c r="C165" s="7"/>
      <c r="D165" s="7"/>
      <c r="E165" s="8"/>
      <c r="F165" s="163"/>
      <c r="G165" s="96"/>
      <c r="H165" s="96"/>
    </row>
    <row r="166" spans="1:8" ht="15.75" customHeight="1" x14ac:dyDescent="0.2">
      <c r="A166" s="19"/>
      <c r="B166" s="7" t="s">
        <v>31</v>
      </c>
      <c r="E166" s="4"/>
      <c r="F166" s="156">
        <v>630</v>
      </c>
      <c r="G166" s="128">
        <v>675</v>
      </c>
      <c r="H166" s="128">
        <v>715</v>
      </c>
    </row>
    <row r="167" spans="1:8" x14ac:dyDescent="0.2">
      <c r="A167" s="19"/>
      <c r="B167" s="2" t="s">
        <v>316</v>
      </c>
      <c r="E167" s="15"/>
      <c r="F167" s="156">
        <v>915</v>
      </c>
      <c r="G167" s="128">
        <v>980</v>
      </c>
      <c r="H167" s="128">
        <v>1040</v>
      </c>
    </row>
    <row r="168" spans="1:8" x14ac:dyDescent="0.2">
      <c r="A168" s="19"/>
      <c r="B168" s="2" t="s">
        <v>317</v>
      </c>
      <c r="E168" s="15"/>
      <c r="F168" s="156">
        <v>1140</v>
      </c>
      <c r="G168" s="128">
        <v>1220</v>
      </c>
      <c r="H168" s="128">
        <v>1295</v>
      </c>
    </row>
    <row r="169" spans="1:8" x14ac:dyDescent="0.2">
      <c r="A169" s="19"/>
      <c r="B169" s="2" t="s">
        <v>318</v>
      </c>
      <c r="E169" s="15"/>
      <c r="F169" s="163"/>
      <c r="G169" s="96"/>
      <c r="H169" s="96"/>
    </row>
    <row r="170" spans="1:8" x14ac:dyDescent="0.2">
      <c r="A170" s="19"/>
      <c r="E170" s="15"/>
      <c r="F170" s="163"/>
      <c r="G170" s="96"/>
      <c r="H170" s="96"/>
    </row>
    <row r="171" spans="1:8" x14ac:dyDescent="0.2">
      <c r="A171" s="19"/>
      <c r="B171" s="7" t="s">
        <v>33</v>
      </c>
      <c r="E171" s="15"/>
      <c r="F171" s="156">
        <v>1590</v>
      </c>
      <c r="G171" s="128">
        <v>1700</v>
      </c>
      <c r="H171" s="128">
        <v>1800</v>
      </c>
    </row>
    <row r="172" spans="1:8" x14ac:dyDescent="0.2">
      <c r="A172" s="19"/>
      <c r="B172" s="2" t="s">
        <v>319</v>
      </c>
      <c r="E172" s="15"/>
      <c r="F172" s="156">
        <v>1590</v>
      </c>
      <c r="G172" s="128">
        <v>1700</v>
      </c>
      <c r="H172" s="128">
        <v>1800</v>
      </c>
    </row>
    <row r="173" spans="1:8" x14ac:dyDescent="0.2">
      <c r="A173" s="19"/>
      <c r="B173" s="2" t="s">
        <v>320</v>
      </c>
      <c r="E173" s="15"/>
      <c r="F173" s="205"/>
      <c r="G173" s="96"/>
      <c r="H173" s="93"/>
    </row>
    <row r="174" spans="1:8" x14ac:dyDescent="0.2">
      <c r="A174" s="19"/>
      <c r="F174" s="161"/>
      <c r="G174" s="105"/>
      <c r="H174" s="105"/>
    </row>
    <row r="175" spans="1:8" x14ac:dyDescent="0.2">
      <c r="A175" s="19"/>
      <c r="B175" s="7" t="s">
        <v>304</v>
      </c>
      <c r="F175" s="156">
        <v>62</v>
      </c>
      <c r="G175" s="128">
        <v>66</v>
      </c>
      <c r="H175" s="128">
        <v>70</v>
      </c>
    </row>
    <row r="176" spans="1:8" x14ac:dyDescent="0.2">
      <c r="A176" s="19"/>
      <c r="B176" s="7" t="s">
        <v>321</v>
      </c>
      <c r="E176" s="15"/>
      <c r="F176" s="156">
        <v>323</v>
      </c>
      <c r="G176" s="128">
        <v>345</v>
      </c>
      <c r="H176" s="128">
        <v>365</v>
      </c>
    </row>
    <row r="177" spans="1:8" x14ac:dyDescent="0.2">
      <c r="A177" s="19"/>
      <c r="B177" s="2" t="s">
        <v>323</v>
      </c>
      <c r="E177" s="15"/>
      <c r="F177" s="156">
        <v>108</v>
      </c>
      <c r="G177" s="128">
        <v>115</v>
      </c>
      <c r="H177" s="128">
        <v>122</v>
      </c>
    </row>
    <row r="178" spans="1:8" x14ac:dyDescent="0.2">
      <c r="A178" s="19"/>
      <c r="B178" s="2" t="s">
        <v>324</v>
      </c>
      <c r="D178" s="2" t="s">
        <v>326</v>
      </c>
      <c r="E178" s="15"/>
      <c r="F178" s="156"/>
      <c r="G178" s="128"/>
      <c r="H178" s="128"/>
    </row>
    <row r="179" spans="1:8" x14ac:dyDescent="0.2">
      <c r="A179" s="19"/>
      <c r="B179" s="2" t="s">
        <v>324</v>
      </c>
      <c r="D179" s="2" t="s">
        <v>325</v>
      </c>
      <c r="E179" s="3"/>
      <c r="F179" s="163"/>
      <c r="G179" s="96"/>
      <c r="H179" s="96"/>
    </row>
    <row r="180" spans="1:8" x14ac:dyDescent="0.2">
      <c r="A180" s="19"/>
      <c r="E180" s="4"/>
      <c r="F180" s="163"/>
      <c r="G180" s="96"/>
      <c r="H180" s="96"/>
    </row>
    <row r="181" spans="1:8" x14ac:dyDescent="0.2">
      <c r="A181" s="19"/>
      <c r="B181" s="7" t="s">
        <v>322</v>
      </c>
      <c r="E181" s="4"/>
      <c r="F181" s="156">
        <v>460</v>
      </c>
      <c r="G181" s="128">
        <v>495</v>
      </c>
      <c r="H181" s="128">
        <v>525</v>
      </c>
    </row>
    <row r="182" spans="1:8" x14ac:dyDescent="0.2">
      <c r="A182" s="19"/>
      <c r="B182" s="2" t="s">
        <v>327</v>
      </c>
      <c r="E182" s="3"/>
      <c r="F182" s="156">
        <v>228</v>
      </c>
      <c r="G182" s="128">
        <v>245</v>
      </c>
      <c r="H182" s="128">
        <v>260</v>
      </c>
    </row>
    <row r="183" spans="1:8" x14ac:dyDescent="0.2">
      <c r="A183" s="19"/>
      <c r="B183" s="2" t="s">
        <v>202</v>
      </c>
      <c r="E183" s="3"/>
      <c r="F183" s="156">
        <v>91</v>
      </c>
      <c r="G183" s="128">
        <v>98</v>
      </c>
      <c r="H183" s="128">
        <v>105</v>
      </c>
    </row>
    <row r="184" spans="1:8" x14ac:dyDescent="0.2">
      <c r="A184" s="19"/>
      <c r="B184" s="2" t="s">
        <v>328</v>
      </c>
      <c r="E184" s="3"/>
      <c r="F184" s="156">
        <v>57</v>
      </c>
      <c r="G184" s="128">
        <v>61</v>
      </c>
      <c r="H184" s="128">
        <v>65</v>
      </c>
    </row>
    <row r="185" spans="1:8" x14ac:dyDescent="0.2">
      <c r="A185" s="19"/>
      <c r="B185" s="2" t="s">
        <v>329</v>
      </c>
      <c r="E185" s="3"/>
      <c r="F185" s="163"/>
      <c r="G185" s="96"/>
      <c r="H185" s="96"/>
    </row>
    <row r="186" spans="1:8" x14ac:dyDescent="0.2">
      <c r="A186" s="19"/>
      <c r="E186" s="3"/>
      <c r="F186" s="163"/>
      <c r="G186" s="96"/>
      <c r="H186" s="96"/>
    </row>
    <row r="187" spans="1:8" x14ac:dyDescent="0.2">
      <c r="A187" s="19"/>
      <c r="B187" s="7" t="s">
        <v>330</v>
      </c>
      <c r="E187" s="15"/>
      <c r="F187" s="156">
        <v>460</v>
      </c>
      <c r="G187" s="128">
        <v>495</v>
      </c>
      <c r="H187" s="128">
        <v>525</v>
      </c>
    </row>
    <row r="188" spans="1:8" x14ac:dyDescent="0.2">
      <c r="A188" s="19"/>
      <c r="B188" s="2" t="s">
        <v>326</v>
      </c>
      <c r="E188" s="3"/>
      <c r="F188" s="156">
        <v>171</v>
      </c>
      <c r="G188" s="128">
        <v>183</v>
      </c>
      <c r="H188" s="128">
        <v>195</v>
      </c>
    </row>
    <row r="189" spans="1:8" x14ac:dyDescent="0.2">
      <c r="A189" s="19"/>
      <c r="B189" s="2" t="s">
        <v>333</v>
      </c>
      <c r="E189" s="3"/>
      <c r="F189" s="156">
        <v>131</v>
      </c>
      <c r="G189" s="128">
        <v>140</v>
      </c>
      <c r="H189" s="128">
        <v>150</v>
      </c>
    </row>
    <row r="190" spans="1:8" x14ac:dyDescent="0.2">
      <c r="A190" s="19"/>
      <c r="B190" s="2" t="s">
        <v>331</v>
      </c>
      <c r="E190" s="3"/>
      <c r="F190" s="156">
        <v>114</v>
      </c>
      <c r="G190" s="128">
        <v>122</v>
      </c>
      <c r="H190" s="128">
        <v>130</v>
      </c>
    </row>
    <row r="191" spans="1:8" ht="13.5" thickBot="1" x14ac:dyDescent="0.25">
      <c r="A191" s="19"/>
      <c r="B191" s="2" t="s">
        <v>332</v>
      </c>
      <c r="E191" s="3"/>
      <c r="F191" s="209"/>
      <c r="G191" s="100"/>
      <c r="H191" s="100"/>
    </row>
    <row r="192" spans="1:8" ht="13.5" thickBot="1" x14ac:dyDescent="0.25">
      <c r="A192" s="21"/>
      <c r="B192" s="151"/>
      <c r="C192" s="22"/>
      <c r="D192" s="22"/>
      <c r="E192" s="152"/>
      <c r="F192" s="210"/>
      <c r="G192" s="109"/>
      <c r="H192" s="109"/>
    </row>
    <row r="193" spans="1:8" ht="13.5" thickBot="1" x14ac:dyDescent="0.25">
      <c r="A193" s="146" t="s">
        <v>334</v>
      </c>
      <c r="B193" s="7"/>
      <c r="C193" s="7"/>
      <c r="D193" s="7"/>
      <c r="E193" s="8"/>
      <c r="F193" s="110" t="str">
        <f t="shared" ref="F193:H193" si="2">+F127</f>
        <v>2016/2017</v>
      </c>
      <c r="G193" s="110" t="str">
        <f t="shared" si="2"/>
        <v>2017/2018</v>
      </c>
      <c r="H193" s="110" t="str">
        <f t="shared" si="2"/>
        <v>2018/2019</v>
      </c>
    </row>
    <row r="194" spans="1:8" x14ac:dyDescent="0.2">
      <c r="A194" s="19"/>
      <c r="B194" s="7" t="s">
        <v>335</v>
      </c>
      <c r="C194" s="7"/>
      <c r="D194" s="7"/>
      <c r="E194" s="8"/>
      <c r="F194" s="211"/>
      <c r="G194" s="111"/>
      <c r="H194" s="111"/>
    </row>
    <row r="195" spans="1:8" x14ac:dyDescent="0.2">
      <c r="A195" s="19"/>
      <c r="B195" s="2" t="s">
        <v>336</v>
      </c>
      <c r="C195" s="7"/>
      <c r="D195" s="7"/>
      <c r="E195" s="8"/>
      <c r="F195" s="165"/>
      <c r="G195" s="87"/>
      <c r="H195" s="87"/>
    </row>
    <row r="196" spans="1:8" x14ac:dyDescent="0.2">
      <c r="A196" s="19"/>
      <c r="B196" s="2" t="s">
        <v>337</v>
      </c>
      <c r="C196" s="7"/>
      <c r="D196" s="7"/>
      <c r="E196" s="8"/>
      <c r="F196" s="165"/>
      <c r="G196" s="165"/>
      <c r="H196" s="165"/>
    </row>
    <row r="197" spans="1:8" x14ac:dyDescent="0.2">
      <c r="A197" s="19"/>
      <c r="B197" s="2"/>
      <c r="C197" s="7"/>
      <c r="D197" s="7"/>
      <c r="E197" s="8"/>
      <c r="F197" s="197">
        <v>114.05600000000001</v>
      </c>
      <c r="G197" s="156">
        <v>122</v>
      </c>
      <c r="H197" s="156">
        <v>130</v>
      </c>
    </row>
    <row r="198" spans="1:8" x14ac:dyDescent="0.2">
      <c r="A198" s="19"/>
      <c r="B198" s="7" t="s">
        <v>362</v>
      </c>
      <c r="F198" s="197">
        <v>5.1325199999999995</v>
      </c>
      <c r="G198" s="156">
        <v>5.5</v>
      </c>
      <c r="H198" s="156">
        <f>+G198*1.06</f>
        <v>5.83</v>
      </c>
    </row>
    <row r="199" spans="1:8" x14ac:dyDescent="0.2">
      <c r="A199" s="19"/>
      <c r="B199" s="2" t="s">
        <v>359</v>
      </c>
      <c r="F199" s="197">
        <v>350</v>
      </c>
      <c r="G199" s="156">
        <v>375</v>
      </c>
      <c r="H199" s="156">
        <v>400</v>
      </c>
    </row>
    <row r="200" spans="1:8" x14ac:dyDescent="0.2">
      <c r="A200" s="19"/>
      <c r="B200" s="2" t="s">
        <v>360</v>
      </c>
      <c r="C200" s="2"/>
      <c r="F200" s="164"/>
      <c r="G200" s="164"/>
      <c r="H200" s="164"/>
    </row>
    <row r="201" spans="1:8" x14ac:dyDescent="0.2">
      <c r="A201" s="19"/>
      <c r="B201" s="2" t="s">
        <v>361</v>
      </c>
      <c r="F201" s="166"/>
      <c r="G201" s="164"/>
      <c r="H201" s="166"/>
    </row>
    <row r="202" spans="1:8" x14ac:dyDescent="0.2">
      <c r="A202" s="19"/>
      <c r="B202" s="2"/>
      <c r="F202" s="197">
        <v>16.697798400000003</v>
      </c>
      <c r="G202" s="156">
        <v>17.899999999999999</v>
      </c>
      <c r="H202" s="156">
        <v>18.899999999999999</v>
      </c>
    </row>
    <row r="203" spans="1:8" x14ac:dyDescent="0.2">
      <c r="A203" s="19"/>
      <c r="B203" s="7" t="s">
        <v>338</v>
      </c>
      <c r="C203" s="7"/>
      <c r="D203" s="7"/>
      <c r="E203" s="8"/>
      <c r="F203" s="197">
        <v>6.4555696000000005</v>
      </c>
      <c r="G203" s="128">
        <v>6.9</v>
      </c>
      <c r="H203" s="128">
        <v>7.3</v>
      </c>
    </row>
    <row r="204" spans="1:8" x14ac:dyDescent="0.2">
      <c r="A204" s="19"/>
      <c r="B204" s="2" t="s">
        <v>339</v>
      </c>
      <c r="C204" s="7"/>
      <c r="D204" s="7"/>
      <c r="E204" s="65"/>
      <c r="F204" s="197">
        <v>6.4555696000000005</v>
      </c>
      <c r="G204" s="128">
        <v>6.9</v>
      </c>
      <c r="H204" s="128">
        <v>7.3</v>
      </c>
    </row>
    <row r="205" spans="1:8" x14ac:dyDescent="0.2">
      <c r="A205" s="19"/>
      <c r="B205" s="2" t="s">
        <v>341</v>
      </c>
      <c r="C205" s="7"/>
      <c r="D205" s="7"/>
      <c r="E205" s="65"/>
      <c r="F205" s="164"/>
      <c r="G205" s="112"/>
      <c r="H205" s="112"/>
    </row>
    <row r="206" spans="1:8" x14ac:dyDescent="0.2">
      <c r="A206" s="19"/>
      <c r="B206" s="2" t="s">
        <v>340</v>
      </c>
      <c r="C206" s="7"/>
      <c r="D206" s="7"/>
      <c r="E206" s="65"/>
      <c r="F206" s="212"/>
      <c r="G206" s="113"/>
      <c r="H206" s="113"/>
    </row>
    <row r="207" spans="1:8" x14ac:dyDescent="0.2">
      <c r="A207" s="19"/>
      <c r="B207" s="7"/>
      <c r="C207" s="7"/>
      <c r="D207" s="7"/>
      <c r="E207" s="8"/>
      <c r="F207" s="197">
        <v>5.3150096000000007</v>
      </c>
      <c r="G207" s="128">
        <v>5.7</v>
      </c>
      <c r="H207" s="128">
        <v>6</v>
      </c>
    </row>
    <row r="208" spans="1:8" x14ac:dyDescent="0.2">
      <c r="A208" s="19"/>
      <c r="B208" s="7" t="s">
        <v>342</v>
      </c>
      <c r="C208" s="7"/>
      <c r="D208" s="7"/>
      <c r="E208" s="8"/>
      <c r="F208" s="197">
        <v>8.3488992000000017</v>
      </c>
      <c r="G208" s="128">
        <v>8.9499999999999993</v>
      </c>
      <c r="H208" s="128">
        <v>9.5</v>
      </c>
    </row>
    <row r="209" spans="1:8" x14ac:dyDescent="0.2">
      <c r="A209" s="19"/>
      <c r="B209" s="2" t="s">
        <v>29</v>
      </c>
      <c r="C209" s="7"/>
      <c r="D209" s="7"/>
      <c r="E209" s="65"/>
      <c r="F209" s="164"/>
      <c r="G209" s="112"/>
      <c r="H209" s="112"/>
    </row>
    <row r="210" spans="1:8" x14ac:dyDescent="0.2">
      <c r="A210" s="19"/>
      <c r="B210" s="2" t="s">
        <v>30</v>
      </c>
      <c r="C210" s="7"/>
      <c r="D210" s="7"/>
      <c r="E210" s="65"/>
      <c r="F210" s="212"/>
      <c r="G210" s="113"/>
      <c r="H210" s="113"/>
    </row>
    <row r="211" spans="1:8" x14ac:dyDescent="0.2">
      <c r="A211" s="19"/>
      <c r="B211" s="7"/>
      <c r="C211" s="7"/>
      <c r="D211" s="7"/>
      <c r="E211" s="8"/>
      <c r="F211" s="197">
        <v>114</v>
      </c>
      <c r="G211" s="128">
        <v>122</v>
      </c>
      <c r="H211" s="128">
        <v>130</v>
      </c>
    </row>
    <row r="212" spans="1:8" x14ac:dyDescent="0.2">
      <c r="A212" s="19"/>
      <c r="B212" s="7" t="s">
        <v>343</v>
      </c>
      <c r="C212" s="7"/>
      <c r="D212" s="7"/>
      <c r="E212" s="8"/>
      <c r="F212" s="197">
        <v>114</v>
      </c>
      <c r="G212" s="128">
        <v>122</v>
      </c>
      <c r="H212" s="128">
        <v>130</v>
      </c>
    </row>
    <row r="213" spans="1:8" x14ac:dyDescent="0.2">
      <c r="A213" s="19"/>
      <c r="B213" s="2" t="s">
        <v>344</v>
      </c>
      <c r="C213" s="7"/>
      <c r="D213" s="7"/>
      <c r="E213" s="8"/>
      <c r="F213" s="164"/>
      <c r="G213" s="160"/>
      <c r="H213" s="160"/>
    </row>
    <row r="214" spans="1:8" x14ac:dyDescent="0.2">
      <c r="A214" s="19"/>
      <c r="B214" s="2" t="s">
        <v>345</v>
      </c>
      <c r="C214" s="7"/>
      <c r="D214" s="7"/>
      <c r="E214" s="65"/>
      <c r="F214" s="161"/>
      <c r="G214" s="161"/>
      <c r="H214" s="161"/>
    </row>
    <row r="215" spans="1:8" x14ac:dyDescent="0.2">
      <c r="A215" s="19"/>
      <c r="E215" s="4"/>
      <c r="F215" s="167"/>
      <c r="G215" s="162"/>
      <c r="H215" s="167"/>
    </row>
    <row r="216" spans="1:8" x14ac:dyDescent="0.2">
      <c r="A216" s="19"/>
      <c r="B216" s="7" t="s">
        <v>346</v>
      </c>
      <c r="C216" s="7"/>
      <c r="D216" s="7"/>
      <c r="E216" s="8"/>
      <c r="F216" s="197">
        <v>800</v>
      </c>
      <c r="G216" s="156">
        <v>856</v>
      </c>
      <c r="H216" s="156">
        <v>910</v>
      </c>
    </row>
    <row r="217" spans="1:8" ht="15.75" customHeight="1" x14ac:dyDescent="0.2">
      <c r="A217" s="19"/>
      <c r="B217" s="2" t="s">
        <v>347</v>
      </c>
      <c r="E217" s="3"/>
      <c r="F217" s="197"/>
      <c r="G217" s="156"/>
      <c r="H217" s="156"/>
    </row>
    <row r="218" spans="1:8" x14ac:dyDescent="0.2">
      <c r="A218" s="19"/>
      <c r="B218" s="2" t="s">
        <v>202</v>
      </c>
      <c r="E218" s="3"/>
      <c r="F218" s="197">
        <v>2690</v>
      </c>
      <c r="G218" s="156">
        <v>2875</v>
      </c>
      <c r="H218" s="156">
        <v>3050</v>
      </c>
    </row>
    <row r="219" spans="1:8" x14ac:dyDescent="0.2">
      <c r="A219" s="19"/>
      <c r="B219" s="2" t="s">
        <v>348</v>
      </c>
      <c r="E219" s="3"/>
      <c r="F219" s="163"/>
      <c r="G219" s="163"/>
      <c r="H219" s="163"/>
    </row>
    <row r="220" spans="1:8" x14ac:dyDescent="0.2">
      <c r="A220" s="19"/>
      <c r="F220" s="163"/>
      <c r="G220" s="163"/>
      <c r="H220" s="163"/>
    </row>
    <row r="221" spans="1:8" x14ac:dyDescent="0.2">
      <c r="A221" s="19"/>
      <c r="B221" s="7" t="s">
        <v>350</v>
      </c>
      <c r="F221" s="156"/>
      <c r="G221" s="157"/>
      <c r="H221" s="156"/>
    </row>
    <row r="222" spans="1:8" x14ac:dyDescent="0.2">
      <c r="A222" s="19"/>
      <c r="B222" s="2" t="s">
        <v>351</v>
      </c>
      <c r="E222" s="13"/>
      <c r="F222" s="197">
        <v>1166</v>
      </c>
      <c r="G222" s="156">
        <v>1245</v>
      </c>
      <c r="H222" s="156">
        <v>1320</v>
      </c>
    </row>
    <row r="223" spans="1:8" x14ac:dyDescent="0.2">
      <c r="A223" s="19"/>
      <c r="B223" s="2" t="s">
        <v>352</v>
      </c>
      <c r="E223" s="13"/>
      <c r="F223" s="197">
        <v>85.501999999999995</v>
      </c>
      <c r="G223" s="156">
        <v>91.5</v>
      </c>
      <c r="H223" s="156">
        <v>97</v>
      </c>
    </row>
    <row r="224" spans="1:8" x14ac:dyDescent="0.2">
      <c r="A224" s="19"/>
      <c r="B224" s="2" t="s">
        <v>353</v>
      </c>
      <c r="F224" s="197">
        <v>65.790000000000006</v>
      </c>
      <c r="G224" s="156">
        <v>70</v>
      </c>
      <c r="H224" s="156">
        <v>74.5</v>
      </c>
    </row>
    <row r="225" spans="1:8" x14ac:dyDescent="0.2">
      <c r="A225" s="19"/>
      <c r="F225" s="164"/>
      <c r="G225" s="164"/>
      <c r="H225" s="164"/>
    </row>
    <row r="226" spans="1:8" x14ac:dyDescent="0.2">
      <c r="A226" s="19"/>
      <c r="B226" s="7" t="s">
        <v>371</v>
      </c>
      <c r="F226" s="164"/>
      <c r="G226" s="164"/>
      <c r="H226" s="164"/>
    </row>
    <row r="227" spans="1:8" x14ac:dyDescent="0.2">
      <c r="A227" s="19"/>
      <c r="B227" s="2" t="s">
        <v>358</v>
      </c>
      <c r="F227" s="197">
        <v>1076</v>
      </c>
      <c r="G227" s="156">
        <v>1151</v>
      </c>
      <c r="H227" s="156">
        <v>1220</v>
      </c>
    </row>
    <row r="228" spans="1:8" x14ac:dyDescent="0.2">
      <c r="A228" s="19"/>
      <c r="B228" s="2" t="s">
        <v>354</v>
      </c>
      <c r="F228" s="160">
        <v>50</v>
      </c>
      <c r="G228" s="128">
        <v>50</v>
      </c>
      <c r="H228" s="128">
        <v>50</v>
      </c>
    </row>
    <row r="229" spans="1:8" x14ac:dyDescent="0.2">
      <c r="A229" s="19"/>
      <c r="B229" s="2" t="s">
        <v>355</v>
      </c>
      <c r="F229" s="197">
        <v>1076</v>
      </c>
      <c r="G229" s="128">
        <v>1151</v>
      </c>
      <c r="H229" s="128">
        <v>1220</v>
      </c>
    </row>
    <row r="230" spans="1:8" x14ac:dyDescent="0.2">
      <c r="A230" s="19"/>
      <c r="B230" s="2" t="s">
        <v>356</v>
      </c>
      <c r="F230" s="160">
        <v>108</v>
      </c>
      <c r="G230" s="128">
        <v>116</v>
      </c>
      <c r="H230" s="128">
        <v>123</v>
      </c>
    </row>
    <row r="231" spans="1:8" x14ac:dyDescent="0.2">
      <c r="A231" s="19"/>
      <c r="B231" s="2" t="s">
        <v>357</v>
      </c>
      <c r="F231" s="197">
        <v>160</v>
      </c>
      <c r="G231" s="128">
        <v>171</v>
      </c>
      <c r="H231" s="128">
        <v>181</v>
      </c>
    </row>
    <row r="232" spans="1:8" x14ac:dyDescent="0.2">
      <c r="A232" s="19"/>
      <c r="F232" s="164"/>
      <c r="G232" s="96"/>
      <c r="H232" s="96"/>
    </row>
    <row r="233" spans="1:8" x14ac:dyDescent="0.2">
      <c r="A233" s="146" t="s">
        <v>349</v>
      </c>
      <c r="F233" s="164"/>
      <c r="G233" s="96"/>
      <c r="H233" s="96"/>
    </row>
    <row r="234" spans="1:8" x14ac:dyDescent="0.2">
      <c r="A234" s="146"/>
      <c r="B234" t="s">
        <v>372</v>
      </c>
      <c r="F234" s="197">
        <v>7.02</v>
      </c>
      <c r="G234" s="128">
        <v>7.02</v>
      </c>
      <c r="H234" s="128">
        <v>7.02</v>
      </c>
    </row>
    <row r="235" spans="1:8" x14ac:dyDescent="0.2">
      <c r="A235" s="19"/>
      <c r="B235" s="2" t="s">
        <v>365</v>
      </c>
      <c r="F235" s="160">
        <v>4.3899999999999997</v>
      </c>
      <c r="G235" s="156">
        <v>4.3899999999999997</v>
      </c>
      <c r="H235" s="156">
        <v>4.3899999999999997</v>
      </c>
    </row>
    <row r="236" spans="1:8" x14ac:dyDescent="0.2">
      <c r="A236" s="19"/>
      <c r="B236" s="2" t="s">
        <v>366</v>
      </c>
      <c r="F236" s="197">
        <v>21.93</v>
      </c>
      <c r="G236" s="157">
        <v>21.93</v>
      </c>
      <c r="H236" s="156">
        <v>21.93</v>
      </c>
    </row>
    <row r="237" spans="1:8" x14ac:dyDescent="0.2">
      <c r="A237" s="19"/>
      <c r="B237" s="2" t="s">
        <v>367</v>
      </c>
      <c r="F237" s="164"/>
      <c r="G237" s="158"/>
      <c r="H237" s="163"/>
    </row>
    <row r="238" spans="1:8" x14ac:dyDescent="0.2">
      <c r="A238" s="19"/>
      <c r="B238" s="2" t="s">
        <v>368</v>
      </c>
      <c r="F238" s="164"/>
      <c r="G238" s="112"/>
      <c r="H238" s="112"/>
    </row>
    <row r="239" spans="1:8" x14ac:dyDescent="0.2">
      <c r="A239" s="19"/>
      <c r="B239" s="2" t="s">
        <v>369</v>
      </c>
      <c r="F239" s="164"/>
      <c r="G239" s="164"/>
      <c r="H239" s="112"/>
    </row>
    <row r="240" spans="1:8" x14ac:dyDescent="0.2">
      <c r="A240" s="19"/>
      <c r="B240" s="2" t="s">
        <v>373</v>
      </c>
      <c r="F240" s="197">
        <v>430</v>
      </c>
      <c r="G240" s="156">
        <v>460</v>
      </c>
      <c r="H240" s="147">
        <v>488</v>
      </c>
    </row>
    <row r="241" spans="1:8" x14ac:dyDescent="0.2">
      <c r="A241" s="19"/>
      <c r="B241" s="2" t="s">
        <v>374</v>
      </c>
      <c r="F241" s="197">
        <v>5.3154400000000006</v>
      </c>
      <c r="G241" s="156">
        <v>5.69</v>
      </c>
      <c r="H241" s="147">
        <v>6</v>
      </c>
    </row>
    <row r="242" spans="1:8" x14ac:dyDescent="0.2">
      <c r="A242" s="19"/>
      <c r="B242" s="7" t="s">
        <v>375</v>
      </c>
      <c r="F242" s="197">
        <v>26.32</v>
      </c>
      <c r="G242" s="156">
        <v>28</v>
      </c>
      <c r="H242" s="147">
        <v>29.7</v>
      </c>
    </row>
    <row r="243" spans="1:8" x14ac:dyDescent="0.2">
      <c r="A243" s="19"/>
      <c r="B243" s="226" t="s">
        <v>376</v>
      </c>
      <c r="F243" s="197">
        <v>26.32</v>
      </c>
      <c r="G243" s="156">
        <v>28</v>
      </c>
      <c r="H243" s="156">
        <v>29.7</v>
      </c>
    </row>
    <row r="244" spans="1:8" x14ac:dyDescent="0.2">
      <c r="A244" s="19"/>
      <c r="B244" s="226" t="s">
        <v>377</v>
      </c>
      <c r="F244" s="156"/>
      <c r="G244" s="215"/>
      <c r="H244" s="156">
        <v>200</v>
      </c>
    </row>
    <row r="245" spans="1:8" x14ac:dyDescent="0.2">
      <c r="A245" s="19"/>
      <c r="F245" s="156"/>
      <c r="G245" s="215"/>
      <c r="H245" s="156">
        <v>320</v>
      </c>
    </row>
    <row r="246" spans="1:8" ht="13.5" thickBot="1" x14ac:dyDescent="0.25">
      <c r="A246" s="21"/>
      <c r="C246" s="22"/>
      <c r="D246" s="22"/>
      <c r="E246" s="22"/>
      <c r="F246" s="156"/>
      <c r="G246" s="215"/>
      <c r="H246" s="156">
        <v>320</v>
      </c>
    </row>
    <row r="247" spans="1:8" x14ac:dyDescent="0.2">
      <c r="A247" s="19"/>
      <c r="B247" s="2"/>
      <c r="F247" s="156"/>
      <c r="G247" s="215"/>
      <c r="H247" s="156">
        <v>300</v>
      </c>
    </row>
    <row r="248" spans="1:8" ht="13.5" thickBot="1" x14ac:dyDescent="0.25">
      <c r="A248" s="19"/>
      <c r="F248" s="191"/>
      <c r="G248" s="216"/>
      <c r="H248" s="191">
        <v>6</v>
      </c>
    </row>
    <row r="249" spans="1:8" x14ac:dyDescent="0.2">
      <c r="F249" s="28"/>
    </row>
    <row r="250" spans="1:8" x14ac:dyDescent="0.2">
      <c r="F250" s="28"/>
    </row>
    <row r="251" spans="1:8" x14ac:dyDescent="0.2">
      <c r="F251" s="28"/>
    </row>
    <row r="252" spans="1:8" x14ac:dyDescent="0.2">
      <c r="F252" s="28"/>
    </row>
    <row r="253" spans="1:8" x14ac:dyDescent="0.2">
      <c r="F253" s="28"/>
    </row>
    <row r="254" spans="1:8" x14ac:dyDescent="0.2">
      <c r="F254" s="28"/>
    </row>
    <row r="255" spans="1:8" x14ac:dyDescent="0.2">
      <c r="F255" s="28"/>
    </row>
    <row r="256" spans="1:8" x14ac:dyDescent="0.2">
      <c r="F256" s="28"/>
    </row>
    <row r="257" spans="6:6" x14ac:dyDescent="0.2">
      <c r="F257" s="28"/>
    </row>
    <row r="258" spans="6:6" x14ac:dyDescent="0.2">
      <c r="F258" s="28"/>
    </row>
    <row r="259" spans="6:6" x14ac:dyDescent="0.2">
      <c r="F259" s="28"/>
    </row>
    <row r="260" spans="6:6" x14ac:dyDescent="0.2">
      <c r="F260" s="28"/>
    </row>
    <row r="261" spans="6:6" x14ac:dyDescent="0.2">
      <c r="F261" s="28"/>
    </row>
    <row r="262" spans="6:6" x14ac:dyDescent="0.2">
      <c r="F262" s="28"/>
    </row>
    <row r="263" spans="6:6" x14ac:dyDescent="0.2">
      <c r="F263" s="28"/>
    </row>
    <row r="264" spans="6:6" x14ac:dyDescent="0.2">
      <c r="F264" s="28"/>
    </row>
    <row r="265" spans="6:6" x14ac:dyDescent="0.2">
      <c r="F265" s="28"/>
    </row>
    <row r="266" spans="6:6" x14ac:dyDescent="0.2">
      <c r="F266" s="28"/>
    </row>
    <row r="267" spans="6:6" x14ac:dyDescent="0.2">
      <c r="F267" s="28"/>
    </row>
    <row r="268" spans="6:6" x14ac:dyDescent="0.2">
      <c r="F268" s="28"/>
    </row>
    <row r="269" spans="6:6" x14ac:dyDescent="0.2">
      <c r="F269" s="28"/>
    </row>
    <row r="270" spans="6:6" x14ac:dyDescent="0.2">
      <c r="F270" s="28"/>
    </row>
    <row r="271" spans="6:6" x14ac:dyDescent="0.2">
      <c r="F271" s="28"/>
    </row>
    <row r="272" spans="6:6" x14ac:dyDescent="0.2">
      <c r="F272" s="28"/>
    </row>
    <row r="273" spans="6:6" x14ac:dyDescent="0.2">
      <c r="F273" s="28"/>
    </row>
    <row r="274" spans="6:6" x14ac:dyDescent="0.2">
      <c r="F274" s="28"/>
    </row>
    <row r="275" spans="6:6" x14ac:dyDescent="0.2">
      <c r="F275" s="28"/>
    </row>
    <row r="276" spans="6:6" x14ac:dyDescent="0.2">
      <c r="F276" s="28"/>
    </row>
    <row r="277" spans="6:6" x14ac:dyDescent="0.2">
      <c r="F277" s="28"/>
    </row>
    <row r="278" spans="6:6" x14ac:dyDescent="0.2">
      <c r="F278" s="28"/>
    </row>
    <row r="279" spans="6:6" x14ac:dyDescent="0.2">
      <c r="F279" s="28"/>
    </row>
    <row r="280" spans="6:6" x14ac:dyDescent="0.2">
      <c r="F280" s="28"/>
    </row>
    <row r="281" spans="6:6" x14ac:dyDescent="0.2">
      <c r="F281" s="28"/>
    </row>
    <row r="282" spans="6:6" x14ac:dyDescent="0.2">
      <c r="F282" s="28"/>
    </row>
    <row r="283" spans="6:6" x14ac:dyDescent="0.2">
      <c r="F283" s="28"/>
    </row>
    <row r="284" spans="6:6" x14ac:dyDescent="0.2">
      <c r="F284" s="28"/>
    </row>
    <row r="285" spans="6:6" x14ac:dyDescent="0.2">
      <c r="F285" s="28"/>
    </row>
    <row r="286" spans="6:6" x14ac:dyDescent="0.2">
      <c r="F286" s="28"/>
    </row>
    <row r="287" spans="6:6" x14ac:dyDescent="0.2">
      <c r="F287" s="28"/>
    </row>
    <row r="288" spans="6:6" x14ac:dyDescent="0.2">
      <c r="F288" s="28"/>
    </row>
    <row r="289" spans="6:6" x14ac:dyDescent="0.2">
      <c r="F289" s="28"/>
    </row>
    <row r="290" spans="6:6" x14ac:dyDescent="0.2">
      <c r="F290" s="28"/>
    </row>
    <row r="291" spans="6:6" x14ac:dyDescent="0.2">
      <c r="F291" s="28"/>
    </row>
    <row r="292" spans="6:6" x14ac:dyDescent="0.2">
      <c r="F292" s="28"/>
    </row>
    <row r="293" spans="6:6" x14ac:dyDescent="0.2">
      <c r="F293" s="28"/>
    </row>
    <row r="294" spans="6:6" x14ac:dyDescent="0.2">
      <c r="F294" s="28"/>
    </row>
    <row r="295" spans="6:6" x14ac:dyDescent="0.2">
      <c r="F295" s="28"/>
    </row>
    <row r="296" spans="6:6" x14ac:dyDescent="0.2">
      <c r="F296" s="28"/>
    </row>
    <row r="297" spans="6:6" x14ac:dyDescent="0.2">
      <c r="F297" s="28"/>
    </row>
    <row r="298" spans="6:6" x14ac:dyDescent="0.2">
      <c r="F298" s="28"/>
    </row>
    <row r="299" spans="6:6" x14ac:dyDescent="0.2">
      <c r="F299" s="28"/>
    </row>
    <row r="300" spans="6:6" x14ac:dyDescent="0.2">
      <c r="F300" s="28"/>
    </row>
    <row r="301" spans="6:6" x14ac:dyDescent="0.2">
      <c r="F301" s="28"/>
    </row>
    <row r="302" spans="6:6" x14ac:dyDescent="0.2">
      <c r="F302" s="28"/>
    </row>
    <row r="303" spans="6:6" x14ac:dyDescent="0.2">
      <c r="F303" s="28"/>
    </row>
    <row r="304" spans="6:6" x14ac:dyDescent="0.2">
      <c r="F304" s="28"/>
    </row>
    <row r="305" spans="6:6" x14ac:dyDescent="0.2">
      <c r="F305" s="28"/>
    </row>
    <row r="306" spans="6:6" x14ac:dyDescent="0.2">
      <c r="F306" s="28"/>
    </row>
    <row r="307" spans="6:6" x14ac:dyDescent="0.2">
      <c r="F307" s="28"/>
    </row>
    <row r="308" spans="6:6" x14ac:dyDescent="0.2">
      <c r="F308" s="28"/>
    </row>
    <row r="309" spans="6:6" x14ac:dyDescent="0.2">
      <c r="F309" s="28"/>
    </row>
    <row r="310" spans="6:6" x14ac:dyDescent="0.2">
      <c r="F310" s="28"/>
    </row>
    <row r="311" spans="6:6" x14ac:dyDescent="0.2">
      <c r="F311" s="28"/>
    </row>
    <row r="312" spans="6:6" x14ac:dyDescent="0.2">
      <c r="F312" s="28"/>
    </row>
    <row r="313" spans="6:6" x14ac:dyDescent="0.2">
      <c r="F313" s="28"/>
    </row>
    <row r="314" spans="6:6" x14ac:dyDescent="0.2">
      <c r="F314" s="28"/>
    </row>
    <row r="315" spans="6:6" x14ac:dyDescent="0.2">
      <c r="F315" s="28"/>
    </row>
    <row r="316" spans="6:6" x14ac:dyDescent="0.2">
      <c r="F316" s="28"/>
    </row>
    <row r="317" spans="6:6" x14ac:dyDescent="0.2">
      <c r="F317" s="28"/>
    </row>
    <row r="318" spans="6:6" x14ac:dyDescent="0.2">
      <c r="F318" s="28"/>
    </row>
    <row r="319" spans="6:6" x14ac:dyDescent="0.2">
      <c r="F319" s="28"/>
    </row>
    <row r="320" spans="6:6" x14ac:dyDescent="0.2">
      <c r="F320" s="28"/>
    </row>
    <row r="321" spans="6:6" x14ac:dyDescent="0.2">
      <c r="F321" s="28"/>
    </row>
    <row r="322" spans="6:6" x14ac:dyDescent="0.2">
      <c r="F322" s="28"/>
    </row>
    <row r="323" spans="6:6" x14ac:dyDescent="0.2">
      <c r="F323" s="28"/>
    </row>
    <row r="324" spans="6:6" x14ac:dyDescent="0.2">
      <c r="F324" s="28"/>
    </row>
    <row r="325" spans="6:6" x14ac:dyDescent="0.2">
      <c r="F325" s="28"/>
    </row>
    <row r="326" spans="6:6" x14ac:dyDescent="0.2">
      <c r="F326" s="28"/>
    </row>
    <row r="327" spans="6:6" x14ac:dyDescent="0.2">
      <c r="F327" s="28"/>
    </row>
    <row r="328" spans="6:6" x14ac:dyDescent="0.2">
      <c r="F328" s="6"/>
    </row>
    <row r="329" spans="6:6" x14ac:dyDescent="0.2">
      <c r="F329" s="6"/>
    </row>
    <row r="330" spans="6:6" x14ac:dyDescent="0.2">
      <c r="F330" s="6"/>
    </row>
    <row r="331" spans="6:6" x14ac:dyDescent="0.2">
      <c r="F331" s="6"/>
    </row>
    <row r="332" spans="6:6" x14ac:dyDescent="0.2">
      <c r="F332" s="6"/>
    </row>
    <row r="333" spans="6:6" x14ac:dyDescent="0.2">
      <c r="F333" s="6"/>
    </row>
    <row r="334" spans="6:6" x14ac:dyDescent="0.2">
      <c r="F334" s="6"/>
    </row>
    <row r="335" spans="6:6" x14ac:dyDescent="0.2">
      <c r="F335" s="6"/>
    </row>
    <row r="336" spans="6:6" x14ac:dyDescent="0.2">
      <c r="F336" s="6"/>
    </row>
    <row r="337" spans="6:6" x14ac:dyDescent="0.2">
      <c r="F337" s="6"/>
    </row>
    <row r="338" spans="6:6" x14ac:dyDescent="0.2">
      <c r="F338" s="6"/>
    </row>
    <row r="339" spans="6:6" x14ac:dyDescent="0.2">
      <c r="F339" s="6"/>
    </row>
    <row r="340" spans="6:6" x14ac:dyDescent="0.2">
      <c r="F340" s="6"/>
    </row>
    <row r="341" spans="6:6" x14ac:dyDescent="0.2">
      <c r="F341" s="6"/>
    </row>
    <row r="342" spans="6:6" x14ac:dyDescent="0.2">
      <c r="F342" s="6"/>
    </row>
    <row r="343" spans="6:6" x14ac:dyDescent="0.2">
      <c r="F343" s="6"/>
    </row>
    <row r="344" spans="6:6" x14ac:dyDescent="0.2">
      <c r="F344" s="6"/>
    </row>
    <row r="345" spans="6:6" x14ac:dyDescent="0.2">
      <c r="F345" s="6"/>
    </row>
    <row r="346" spans="6:6" x14ac:dyDescent="0.2">
      <c r="F346" s="6"/>
    </row>
    <row r="347" spans="6:6" x14ac:dyDescent="0.2">
      <c r="F347" s="6"/>
    </row>
    <row r="348" spans="6:6" x14ac:dyDescent="0.2">
      <c r="F348" s="6"/>
    </row>
    <row r="349" spans="6:6" x14ac:dyDescent="0.2">
      <c r="F349" s="6"/>
    </row>
    <row r="350" spans="6:6" x14ac:dyDescent="0.2">
      <c r="F350" s="6"/>
    </row>
    <row r="351" spans="6:6" x14ac:dyDescent="0.2">
      <c r="F351" s="6"/>
    </row>
    <row r="352" spans="6:6" x14ac:dyDescent="0.2">
      <c r="F352" s="6"/>
    </row>
    <row r="353" spans="6:6" x14ac:dyDescent="0.2">
      <c r="F353" s="6"/>
    </row>
    <row r="354" spans="6:6" x14ac:dyDescent="0.2">
      <c r="F354"/>
    </row>
    <row r="355" spans="6:6" x14ac:dyDescent="0.2">
      <c r="F355"/>
    </row>
    <row r="356" spans="6:6" x14ac:dyDescent="0.2">
      <c r="F356"/>
    </row>
    <row r="357" spans="6:6" x14ac:dyDescent="0.2">
      <c r="F357"/>
    </row>
    <row r="358" spans="6:6" x14ac:dyDescent="0.2">
      <c r="F358"/>
    </row>
    <row r="359" spans="6:6" x14ac:dyDescent="0.2">
      <c r="F359"/>
    </row>
    <row r="360" spans="6:6" x14ac:dyDescent="0.2">
      <c r="F360"/>
    </row>
    <row r="361" spans="6:6" x14ac:dyDescent="0.2">
      <c r="F361"/>
    </row>
    <row r="362" spans="6:6" x14ac:dyDescent="0.2">
      <c r="F362"/>
    </row>
    <row r="363" spans="6:6" x14ac:dyDescent="0.2">
      <c r="F363"/>
    </row>
    <row r="364" spans="6:6" x14ac:dyDescent="0.2">
      <c r="F364"/>
    </row>
    <row r="365" spans="6:6" x14ac:dyDescent="0.2">
      <c r="F365"/>
    </row>
    <row r="366" spans="6:6" x14ac:dyDescent="0.2">
      <c r="F366"/>
    </row>
    <row r="367" spans="6:6" x14ac:dyDescent="0.2">
      <c r="F367"/>
    </row>
  </sheetData>
  <pageMargins left="0.74803149606299202" right="0.74803149606299202" top="0.59055118110236204" bottom="0.55118110236220497" header="0.511811023622047" footer="0.511811023622047"/>
  <pageSetup paperSize="9" scale="73" fitToHeight="7" orientation="portrait" r:id="rId1"/>
  <headerFooter alignWithMargins="0">
    <oddFooter>Page &amp;P of &amp;N</oddFooter>
  </headerFooter>
  <rowBreaks count="3" manualBreakCount="3">
    <brk id="60" max="18" man="1"/>
    <brk id="119" max="18" man="1"/>
    <brk id="192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6"/>
  <sheetViews>
    <sheetView topLeftCell="B1" workbookViewId="0">
      <selection activeCell="G59" sqref="G59"/>
    </sheetView>
  </sheetViews>
  <sheetFormatPr defaultRowHeight="12.75" x14ac:dyDescent="0.2"/>
  <cols>
    <col min="1" max="1" width="32.28515625" customWidth="1"/>
    <col min="5" max="5" width="11.140625" bestFit="1" customWidth="1"/>
    <col min="6" max="6" width="19.28515625" customWidth="1"/>
    <col min="10" max="10" width="12.28515625" customWidth="1"/>
    <col min="11" max="11" width="11.28515625" bestFit="1" customWidth="1"/>
    <col min="12" max="12" width="12.140625" bestFit="1" customWidth="1"/>
    <col min="13" max="13" width="9.140625" customWidth="1"/>
    <col min="15" max="15" width="6.140625" customWidth="1"/>
    <col min="16" max="16" width="10.5703125" customWidth="1"/>
    <col min="17" max="17" width="16" style="7" customWidth="1"/>
    <col min="19" max="19" width="12.7109375" customWidth="1"/>
  </cols>
  <sheetData>
    <row r="1" spans="1:19" x14ac:dyDescent="0.2">
      <c r="A1" s="53" t="s">
        <v>0</v>
      </c>
      <c r="F1" s="53" t="s">
        <v>447</v>
      </c>
    </row>
    <row r="2" spans="1:19" x14ac:dyDescent="0.2">
      <c r="A2" s="53" t="s">
        <v>1</v>
      </c>
    </row>
    <row r="3" spans="1:19" s="7" customFormat="1" ht="13.5" thickBot="1" x14ac:dyDescent="0.25">
      <c r="A3" s="278">
        <v>4.8000000000000001E-2</v>
      </c>
      <c r="F3" s="7" t="s">
        <v>75</v>
      </c>
      <c r="J3" s="168"/>
      <c r="M3" s="7" t="s">
        <v>76</v>
      </c>
      <c r="P3" s="7" t="s">
        <v>102</v>
      </c>
      <c r="Q3" s="7" t="s">
        <v>77</v>
      </c>
    </row>
    <row r="4" spans="1:19" x14ac:dyDescent="0.2">
      <c r="A4" s="69" t="s">
        <v>42</v>
      </c>
      <c r="B4" s="30"/>
      <c r="C4" s="30"/>
      <c r="D4" s="30"/>
      <c r="E4" s="30"/>
      <c r="F4" s="174"/>
      <c r="G4" s="30"/>
      <c r="H4" s="30"/>
      <c r="I4" s="30"/>
      <c r="J4" s="30"/>
      <c r="K4" s="30"/>
      <c r="L4" s="30"/>
      <c r="M4" s="174"/>
      <c r="N4" s="29"/>
      <c r="O4" s="30"/>
      <c r="P4" s="30"/>
      <c r="Q4" s="75"/>
    </row>
    <row r="5" spans="1:19" ht="25.5" x14ac:dyDescent="0.2">
      <c r="A5" s="19" t="s">
        <v>54</v>
      </c>
      <c r="C5" t="s">
        <v>61</v>
      </c>
      <c r="F5" s="279">
        <f>'Tariewe Afr'!Y7</f>
        <v>145.57485541400931</v>
      </c>
      <c r="M5" s="178" t="s">
        <v>406</v>
      </c>
      <c r="N5" s="19"/>
      <c r="P5" s="169">
        <f>+F5*0.15</f>
        <v>21.836228312101394</v>
      </c>
      <c r="Q5" s="285">
        <f>SUM(F5+P5)</f>
        <v>167.41108372611069</v>
      </c>
    </row>
    <row r="6" spans="1:19" x14ac:dyDescent="0.2">
      <c r="A6" s="19" t="s">
        <v>41</v>
      </c>
      <c r="F6" s="279">
        <f>'Tariewe Afr'!Y8</f>
        <v>2.89850885020368</v>
      </c>
      <c r="G6" t="s">
        <v>79</v>
      </c>
      <c r="M6" s="175" t="s">
        <v>78</v>
      </c>
      <c r="N6" s="19"/>
      <c r="P6" s="169">
        <f t="shared" ref="P6:P7" si="0">+F6*0.15</f>
        <v>0.43477632753055201</v>
      </c>
      <c r="Q6" s="285">
        <f>SUM(F6+P6)</f>
        <v>3.3332851777342318</v>
      </c>
    </row>
    <row r="7" spans="1:19" ht="13.5" thickBot="1" x14ac:dyDescent="0.25">
      <c r="A7" s="172" t="s">
        <v>407</v>
      </c>
      <c r="B7" s="22"/>
      <c r="C7" s="22"/>
      <c r="D7" s="22"/>
      <c r="E7" s="22"/>
      <c r="F7" s="280">
        <f>2.6461*1.048</f>
        <v>2.7731128000000003</v>
      </c>
      <c r="G7" s="22"/>
      <c r="H7" s="22"/>
      <c r="I7" s="22"/>
      <c r="J7" s="22"/>
      <c r="K7" s="22"/>
      <c r="L7" s="22"/>
      <c r="M7" s="179" t="s">
        <v>408</v>
      </c>
      <c r="N7" s="21"/>
      <c r="O7" s="22"/>
      <c r="P7" s="170">
        <f t="shared" si="0"/>
        <v>0.41596692000000002</v>
      </c>
      <c r="Q7" s="286">
        <f>+P7+F7</f>
        <v>3.1890797200000005</v>
      </c>
    </row>
    <row r="8" spans="1:19" ht="13.5" thickBot="1" x14ac:dyDescent="0.25">
      <c r="F8" s="281"/>
    </row>
    <row r="9" spans="1:19" x14ac:dyDescent="0.2">
      <c r="A9" s="69" t="s">
        <v>67</v>
      </c>
      <c r="B9" s="30"/>
      <c r="C9" s="30"/>
      <c r="D9" s="30"/>
      <c r="E9" s="30"/>
      <c r="F9" s="282"/>
      <c r="G9" s="30"/>
      <c r="H9" s="30"/>
      <c r="I9" s="30"/>
      <c r="J9" s="30"/>
      <c r="K9" s="30"/>
      <c r="L9" s="30"/>
      <c r="M9" s="174"/>
      <c r="N9" s="29"/>
      <c r="O9" s="30"/>
      <c r="P9" s="30"/>
      <c r="Q9" s="75"/>
    </row>
    <row r="10" spans="1:19" x14ac:dyDescent="0.2">
      <c r="A10" s="171" t="s">
        <v>104</v>
      </c>
      <c r="F10" s="279"/>
      <c r="M10" s="175"/>
      <c r="N10" s="19"/>
      <c r="Q10" s="63"/>
    </row>
    <row r="11" spans="1:19" x14ac:dyDescent="0.2">
      <c r="A11" s="19"/>
      <c r="B11">
        <v>30</v>
      </c>
      <c r="C11" s="2" t="s">
        <v>106</v>
      </c>
      <c r="F11" s="279">
        <f>'Tariewe Afr'!Y12</f>
        <v>32.027840477579524</v>
      </c>
      <c r="G11" s="2" t="s">
        <v>449</v>
      </c>
      <c r="K11" s="281">
        <f>32.0278*30</f>
        <v>960.83399999999995</v>
      </c>
      <c r="M11" s="177" t="s">
        <v>107</v>
      </c>
      <c r="N11" s="19"/>
      <c r="P11" s="169">
        <f>+K11*0.15</f>
        <v>144.12509999999997</v>
      </c>
      <c r="Q11" s="285">
        <f>+K11+P11</f>
        <v>1104.9591</v>
      </c>
    </row>
    <row r="12" spans="1:19" x14ac:dyDescent="0.2">
      <c r="A12" s="20" t="s">
        <v>41</v>
      </c>
      <c r="F12" s="279">
        <f>'Tariewe Afr'!Y13</f>
        <v>2.0404471815201601</v>
      </c>
      <c r="G12" s="2" t="s">
        <v>79</v>
      </c>
      <c r="K12" s="281"/>
      <c r="M12" s="177" t="s">
        <v>107</v>
      </c>
      <c r="N12" s="19"/>
      <c r="P12" s="169"/>
      <c r="Q12" s="285"/>
    </row>
    <row r="13" spans="1:19" x14ac:dyDescent="0.2">
      <c r="A13" s="171" t="s">
        <v>105</v>
      </c>
      <c r="E13" s="14"/>
      <c r="F13" s="279"/>
      <c r="G13" s="2"/>
      <c r="K13" s="281"/>
      <c r="M13" s="175"/>
      <c r="N13" s="19"/>
      <c r="P13" s="169"/>
      <c r="Q13" s="285"/>
      <c r="S13" s="14"/>
    </row>
    <row r="14" spans="1:19" x14ac:dyDescent="0.2">
      <c r="A14" s="19"/>
      <c r="B14">
        <v>15</v>
      </c>
      <c r="C14" s="2" t="s">
        <v>106</v>
      </c>
      <c r="E14" s="14">
        <f>+K14</f>
        <v>480.41699999999997</v>
      </c>
      <c r="F14" s="279"/>
      <c r="G14" s="2" t="s">
        <v>450</v>
      </c>
      <c r="K14" s="281">
        <f>15*32.0278</f>
        <v>480.41699999999997</v>
      </c>
      <c r="M14" s="177" t="s">
        <v>108</v>
      </c>
      <c r="N14" s="19"/>
      <c r="P14" s="169">
        <f>+E14*0.15</f>
        <v>72.062549999999987</v>
      </c>
      <c r="Q14" s="285">
        <f>+P14+E14</f>
        <v>552.47955000000002</v>
      </c>
    </row>
    <row r="15" spans="1:19" x14ac:dyDescent="0.2">
      <c r="A15" s="19"/>
      <c r="B15">
        <v>30</v>
      </c>
      <c r="C15" s="2" t="s">
        <v>106</v>
      </c>
      <c r="E15" s="14">
        <f t="shared" ref="E15:E20" si="1">+K15</f>
        <v>960.83399999999995</v>
      </c>
      <c r="F15" s="279"/>
      <c r="G15" s="2" t="s">
        <v>449</v>
      </c>
      <c r="K15" s="281">
        <f>30*32.0278</f>
        <v>960.83399999999995</v>
      </c>
      <c r="M15" s="177" t="s">
        <v>109</v>
      </c>
      <c r="N15" s="19"/>
      <c r="P15" s="169">
        <f t="shared" ref="P15:P20" si="2">+E15*0.15</f>
        <v>144.12509999999997</v>
      </c>
      <c r="Q15" s="285">
        <f t="shared" ref="Q15:Q20" si="3">+P15+E15</f>
        <v>1104.9591</v>
      </c>
    </row>
    <row r="16" spans="1:19" x14ac:dyDescent="0.2">
      <c r="A16" s="19"/>
      <c r="B16">
        <v>45</v>
      </c>
      <c r="C16" s="2" t="s">
        <v>106</v>
      </c>
      <c r="E16" s="14">
        <f t="shared" si="1"/>
        <v>1441.251</v>
      </c>
      <c r="F16" s="279"/>
      <c r="G16" s="2" t="s">
        <v>451</v>
      </c>
      <c r="K16" s="281">
        <f>45*32.0278</f>
        <v>1441.251</v>
      </c>
      <c r="M16" s="177" t="s">
        <v>110</v>
      </c>
      <c r="N16" s="19"/>
      <c r="P16" s="169">
        <f t="shared" si="2"/>
        <v>216.18764999999999</v>
      </c>
      <c r="Q16" s="285">
        <f t="shared" si="3"/>
        <v>1657.4386500000001</v>
      </c>
    </row>
    <row r="17" spans="1:17" x14ac:dyDescent="0.2">
      <c r="A17" s="19"/>
      <c r="B17">
        <v>60</v>
      </c>
      <c r="C17" s="2" t="s">
        <v>106</v>
      </c>
      <c r="E17" s="14">
        <f t="shared" si="1"/>
        <v>1921.6679999999999</v>
      </c>
      <c r="F17" s="279"/>
      <c r="G17" s="2" t="s">
        <v>452</v>
      </c>
      <c r="K17" s="281">
        <f>60*32.0278</f>
        <v>1921.6679999999999</v>
      </c>
      <c r="M17" s="177" t="s">
        <v>111</v>
      </c>
      <c r="N17" s="19"/>
      <c r="P17" s="169">
        <f t="shared" si="2"/>
        <v>288.25019999999995</v>
      </c>
      <c r="Q17" s="285">
        <f t="shared" si="3"/>
        <v>2209.9182000000001</v>
      </c>
    </row>
    <row r="18" spans="1:17" x14ac:dyDescent="0.2">
      <c r="A18" s="19"/>
      <c r="B18">
        <v>90</v>
      </c>
      <c r="C18" s="2" t="s">
        <v>106</v>
      </c>
      <c r="E18" s="14">
        <f t="shared" si="1"/>
        <v>2882.502</v>
      </c>
      <c r="F18" s="279"/>
      <c r="G18" s="2" t="s">
        <v>453</v>
      </c>
      <c r="K18" s="281">
        <f>90*32.0278</f>
        <v>2882.502</v>
      </c>
      <c r="M18" s="177" t="s">
        <v>112</v>
      </c>
      <c r="N18" s="19"/>
      <c r="P18" s="169">
        <f t="shared" si="2"/>
        <v>432.37529999999998</v>
      </c>
      <c r="Q18" s="285">
        <f t="shared" si="3"/>
        <v>3314.8773000000001</v>
      </c>
    </row>
    <row r="19" spans="1:17" x14ac:dyDescent="0.2">
      <c r="A19" s="19"/>
      <c r="B19">
        <v>120</v>
      </c>
      <c r="C19" s="2" t="s">
        <v>106</v>
      </c>
      <c r="E19" s="14">
        <f t="shared" si="1"/>
        <v>3843.3359999999998</v>
      </c>
      <c r="F19" s="279"/>
      <c r="G19" s="2" t="s">
        <v>454</v>
      </c>
      <c r="K19" s="281">
        <f>120*32.0278</f>
        <v>3843.3359999999998</v>
      </c>
      <c r="M19" s="177" t="s">
        <v>113</v>
      </c>
      <c r="N19" s="19"/>
      <c r="P19" s="169">
        <f t="shared" si="2"/>
        <v>576.5003999999999</v>
      </c>
      <c r="Q19" s="285">
        <f t="shared" si="3"/>
        <v>4419.8364000000001</v>
      </c>
    </row>
    <row r="20" spans="1:17" x14ac:dyDescent="0.2">
      <c r="A20" s="19"/>
      <c r="B20">
        <v>150</v>
      </c>
      <c r="C20" s="2" t="s">
        <v>106</v>
      </c>
      <c r="E20" s="14">
        <f t="shared" si="1"/>
        <v>4804.17</v>
      </c>
      <c r="F20" s="279"/>
      <c r="G20" s="2" t="s">
        <v>455</v>
      </c>
      <c r="K20" s="281">
        <f>150*32.0278</f>
        <v>4804.17</v>
      </c>
      <c r="M20" s="177" t="s">
        <v>114</v>
      </c>
      <c r="N20" s="19"/>
      <c r="P20" s="169">
        <f t="shared" si="2"/>
        <v>720.62549999999999</v>
      </c>
      <c r="Q20" s="285">
        <f t="shared" si="3"/>
        <v>5524.7955000000002</v>
      </c>
    </row>
    <row r="21" spans="1:17" ht="63.75" x14ac:dyDescent="0.2">
      <c r="A21" s="19" t="s">
        <v>41</v>
      </c>
      <c r="E21" s="14"/>
      <c r="F21" s="279">
        <f>1.9552*1.048*1.1459</f>
        <v>2.3480059366399999</v>
      </c>
      <c r="G21" t="s">
        <v>79</v>
      </c>
      <c r="K21" s="267"/>
      <c r="M21" s="178" t="s">
        <v>397</v>
      </c>
      <c r="N21" s="19"/>
      <c r="P21" s="169">
        <f>+F21*0.15</f>
        <v>0.35220089049599995</v>
      </c>
      <c r="Q21" s="285">
        <f t="shared" ref="Q21" si="4">SUM(F21+P21)</f>
        <v>2.7002068271359998</v>
      </c>
    </row>
    <row r="22" spans="1:17" ht="13.5" thickBot="1" x14ac:dyDescent="0.25">
      <c r="A22" s="172" t="s">
        <v>398</v>
      </c>
      <c r="B22" s="22"/>
      <c r="C22" s="22"/>
      <c r="D22" s="22"/>
      <c r="E22" s="173"/>
      <c r="F22" s="283">
        <f>+F21</f>
        <v>2.3480059366399999</v>
      </c>
      <c r="G22" s="151" t="s">
        <v>79</v>
      </c>
      <c r="H22" s="22"/>
      <c r="I22" s="22"/>
      <c r="J22" s="22"/>
      <c r="K22" s="22"/>
      <c r="L22" s="22"/>
      <c r="M22" s="179" t="s">
        <v>399</v>
      </c>
      <c r="N22" s="21"/>
      <c r="O22" s="22"/>
      <c r="P22" s="170">
        <f>+F22*0.15</f>
        <v>0.35220089049599995</v>
      </c>
      <c r="Q22" s="286">
        <f t="shared" ref="Q22" si="5">SUM(F22+P22)</f>
        <v>2.7002068271359998</v>
      </c>
    </row>
    <row r="23" spans="1:17" ht="13.5" thickBot="1" x14ac:dyDescent="0.25">
      <c r="F23" s="281"/>
      <c r="Q23" s="287"/>
    </row>
    <row r="24" spans="1:17" ht="13.5" thickBot="1" x14ac:dyDescent="0.25">
      <c r="A24" s="180" t="s">
        <v>51</v>
      </c>
      <c r="B24" s="181"/>
      <c r="C24" s="181" t="s">
        <v>52</v>
      </c>
      <c r="D24" s="181"/>
      <c r="E24" s="181"/>
      <c r="F24" s="284">
        <f>'Tariewe Afr'!Y15</f>
        <v>2.9889318173702404</v>
      </c>
      <c r="G24" s="181" t="s">
        <v>79</v>
      </c>
      <c r="H24" s="181"/>
      <c r="I24" s="181"/>
      <c r="J24" s="181"/>
      <c r="K24" s="181"/>
      <c r="L24" s="181"/>
      <c r="M24" s="183" t="s">
        <v>103</v>
      </c>
      <c r="N24" s="181"/>
      <c r="O24" s="181"/>
      <c r="P24" s="182">
        <f>+F24*0.15</f>
        <v>0.44833977260553604</v>
      </c>
      <c r="Q24" s="288">
        <f>SUM(F24+P24)</f>
        <v>3.4372715899757766</v>
      </c>
    </row>
    <row r="25" spans="1:17" ht="13.5" thickBot="1" x14ac:dyDescent="0.25">
      <c r="F25" s="281"/>
      <c r="Q25" s="287"/>
    </row>
    <row r="26" spans="1:17" x14ac:dyDescent="0.2">
      <c r="A26" s="69" t="s">
        <v>49</v>
      </c>
      <c r="B26" s="30"/>
      <c r="C26" s="30"/>
      <c r="D26" s="30"/>
      <c r="E26" s="30"/>
      <c r="F26" s="282"/>
      <c r="G26" s="30"/>
      <c r="H26" s="30"/>
      <c r="I26" s="30"/>
      <c r="J26" s="30"/>
      <c r="K26" s="30"/>
      <c r="L26" s="30"/>
      <c r="M26" s="174"/>
      <c r="N26" s="30"/>
      <c r="O26" s="30"/>
      <c r="P26" s="30"/>
      <c r="Q26" s="289"/>
    </row>
    <row r="27" spans="1:17" ht="13.5" thickBot="1" x14ac:dyDescent="0.25">
      <c r="A27" s="21" t="s">
        <v>41</v>
      </c>
      <c r="B27" s="22"/>
      <c r="C27" s="22" t="s">
        <v>60</v>
      </c>
      <c r="D27" s="22"/>
      <c r="E27" s="22"/>
      <c r="F27" s="283">
        <f>'Tariewe Afr'!Y20</f>
        <v>2.0404471815201601</v>
      </c>
      <c r="G27" s="22" t="s">
        <v>79</v>
      </c>
      <c r="H27" s="22"/>
      <c r="I27" s="22"/>
      <c r="J27" s="22"/>
      <c r="K27" s="22"/>
      <c r="L27" s="22"/>
      <c r="M27" s="176" t="s">
        <v>80</v>
      </c>
      <c r="N27" s="22"/>
      <c r="O27" s="22"/>
      <c r="P27" s="170">
        <f>+F27*0.15</f>
        <v>0.30606707722802401</v>
      </c>
      <c r="Q27" s="286">
        <f>SUM(F27+P27)</f>
        <v>2.3465142587481842</v>
      </c>
    </row>
    <row r="28" spans="1:17" ht="13.5" thickBot="1" x14ac:dyDescent="0.25">
      <c r="F28" s="281"/>
    </row>
    <row r="29" spans="1:17" x14ac:dyDescent="0.2">
      <c r="A29" s="69" t="s">
        <v>43</v>
      </c>
      <c r="B29" s="30"/>
      <c r="C29" s="30"/>
      <c r="D29" s="30"/>
      <c r="E29" s="30"/>
      <c r="F29" s="282"/>
      <c r="G29" s="30"/>
      <c r="H29" s="30"/>
      <c r="I29" s="30"/>
      <c r="J29" s="30"/>
      <c r="K29" s="30"/>
      <c r="L29" s="30"/>
      <c r="M29" s="174"/>
      <c r="N29" s="30"/>
      <c r="O29" s="30"/>
      <c r="P29" s="30"/>
      <c r="Q29" s="75"/>
    </row>
    <row r="30" spans="1:17" x14ac:dyDescent="0.2">
      <c r="A30" s="171" t="s">
        <v>53</v>
      </c>
      <c r="F30" s="279"/>
      <c r="M30" s="175"/>
      <c r="Q30" s="63"/>
    </row>
    <row r="31" spans="1:17" x14ac:dyDescent="0.2">
      <c r="A31" s="19"/>
      <c r="B31" t="s">
        <v>54</v>
      </c>
      <c r="F31" s="279"/>
      <c r="M31" s="175"/>
      <c r="Q31" s="63"/>
    </row>
    <row r="32" spans="1:17" x14ac:dyDescent="0.2">
      <c r="A32" s="19"/>
      <c r="B32" t="s">
        <v>63</v>
      </c>
      <c r="D32" t="s">
        <v>47</v>
      </c>
      <c r="F32" s="279">
        <f>'Tariewe Afr'!Y25</f>
        <v>21.558671889753601</v>
      </c>
      <c r="G32" s="2" t="s">
        <v>444</v>
      </c>
      <c r="K32" s="14"/>
      <c r="L32" s="281">
        <f>30*21.5587</f>
        <v>646.76100000000008</v>
      </c>
      <c r="M32" s="175" t="s">
        <v>81</v>
      </c>
      <c r="P32" s="169">
        <f>+L32*0.15</f>
        <v>97.014150000000015</v>
      </c>
      <c r="Q32" s="285">
        <f>+P32+L32</f>
        <v>743.77515000000005</v>
      </c>
    </row>
    <row r="33" spans="1:17" x14ac:dyDescent="0.2">
      <c r="A33" s="19"/>
      <c r="B33" t="s">
        <v>62</v>
      </c>
      <c r="D33" t="s">
        <v>47</v>
      </c>
      <c r="F33" s="279">
        <f>'Tariewe Afr'!Y26</f>
        <v>22.91412364581312</v>
      </c>
      <c r="G33" s="2" t="s">
        <v>445</v>
      </c>
      <c r="K33" s="276"/>
      <c r="L33" s="281">
        <f>60*22.9141</f>
        <v>1374.846</v>
      </c>
      <c r="M33" s="175" t="s">
        <v>82</v>
      </c>
      <c r="P33" s="169">
        <f>+L33*0.15</f>
        <v>206.2269</v>
      </c>
      <c r="Q33" s="285">
        <f>+P33+L33</f>
        <v>1581.0729000000001</v>
      </c>
    </row>
    <row r="34" spans="1:17" ht="25.5" x14ac:dyDescent="0.2">
      <c r="A34" s="19"/>
      <c r="B34" t="s">
        <v>41</v>
      </c>
      <c r="D34" t="s">
        <v>431</v>
      </c>
      <c r="F34" s="279">
        <f>'Tariewe Afr'!Y31</f>
        <v>2.2186148615366403</v>
      </c>
      <c r="G34" t="s">
        <v>79</v>
      </c>
      <c r="L34" s="281"/>
      <c r="M34" s="185" t="s">
        <v>83</v>
      </c>
      <c r="P34" s="169">
        <f>+F34*0.15</f>
        <v>0.33279222923049606</v>
      </c>
      <c r="Q34" s="285">
        <f t="shared" ref="Q34" si="6">SUM(F34+P34)</f>
        <v>2.5514070907671362</v>
      </c>
    </row>
    <row r="35" spans="1:17" x14ac:dyDescent="0.2">
      <c r="A35" s="19"/>
      <c r="B35" t="s">
        <v>41</v>
      </c>
      <c r="D35" s="2" t="s">
        <v>448</v>
      </c>
      <c r="F35" s="279">
        <f>2.546*1.048</f>
        <v>2.6682079999999999</v>
      </c>
      <c r="G35" t="s">
        <v>79</v>
      </c>
      <c r="L35" s="281"/>
      <c r="M35" s="185"/>
      <c r="P35" s="169"/>
      <c r="Q35" s="285"/>
    </row>
    <row r="36" spans="1:17" x14ac:dyDescent="0.2">
      <c r="A36" s="20" t="s">
        <v>400</v>
      </c>
      <c r="F36" s="279">
        <f>3.3665*1.048</f>
        <v>3.528092</v>
      </c>
      <c r="G36" t="s">
        <v>79</v>
      </c>
      <c r="L36" s="281"/>
      <c r="M36" s="177" t="s">
        <v>402</v>
      </c>
      <c r="P36" s="169">
        <f t="shared" ref="P36:P38" si="7">+F36*0.15</f>
        <v>0.52921379999999996</v>
      </c>
      <c r="Q36" s="285">
        <f t="shared" ref="Q36:Q38" si="8">SUM(F36+P36)</f>
        <v>4.0573058</v>
      </c>
    </row>
    <row r="37" spans="1:17" x14ac:dyDescent="0.2">
      <c r="A37" s="20" t="s">
        <v>401</v>
      </c>
      <c r="F37" s="279">
        <f>4.6482*1.048</f>
        <v>4.8713136000000006</v>
      </c>
      <c r="G37" t="s">
        <v>79</v>
      </c>
      <c r="L37" s="281"/>
      <c r="M37" s="177" t="s">
        <v>403</v>
      </c>
      <c r="P37" s="169">
        <f t="shared" si="7"/>
        <v>0.73069704000000002</v>
      </c>
      <c r="Q37" s="285">
        <f t="shared" si="8"/>
        <v>5.6020106400000005</v>
      </c>
    </row>
    <row r="38" spans="1:17" x14ac:dyDescent="0.2">
      <c r="A38" s="20" t="s">
        <v>423</v>
      </c>
      <c r="F38" s="279">
        <f>3.3024*1.048</f>
        <v>3.4609152000000001</v>
      </c>
      <c r="G38" t="s">
        <v>79</v>
      </c>
      <c r="L38" s="281"/>
      <c r="M38" s="177" t="s">
        <v>425</v>
      </c>
      <c r="P38" s="169">
        <f t="shared" si="7"/>
        <v>0.51913728000000003</v>
      </c>
      <c r="Q38" s="285">
        <f t="shared" si="8"/>
        <v>3.9800524800000003</v>
      </c>
    </row>
    <row r="39" spans="1:17" x14ac:dyDescent="0.2">
      <c r="A39" s="20" t="s">
        <v>424</v>
      </c>
      <c r="F39" s="279">
        <f>3.5136*1.048</f>
        <v>3.6822528000000001</v>
      </c>
      <c r="G39" t="s">
        <v>79</v>
      </c>
      <c r="L39" s="281"/>
      <c r="M39" s="177" t="s">
        <v>426</v>
      </c>
      <c r="P39" s="169">
        <f t="shared" ref="P39" si="9">+F39*0.15</f>
        <v>0.55233792000000004</v>
      </c>
      <c r="Q39" s="285">
        <f t="shared" ref="Q39" si="10">SUM(F39+P39)</f>
        <v>4.2345907199999999</v>
      </c>
    </row>
    <row r="40" spans="1:17" x14ac:dyDescent="0.2">
      <c r="A40" s="19"/>
      <c r="F40" s="279"/>
      <c r="L40" s="281"/>
      <c r="M40" s="175"/>
      <c r="Q40" s="285"/>
    </row>
    <row r="41" spans="1:17" x14ac:dyDescent="0.2">
      <c r="A41" s="171" t="s">
        <v>84</v>
      </c>
      <c r="F41" s="279"/>
      <c r="L41" s="281"/>
      <c r="M41" s="175"/>
      <c r="Q41" s="285"/>
    </row>
    <row r="42" spans="1:17" x14ac:dyDescent="0.2">
      <c r="A42" s="19"/>
      <c r="B42" s="2" t="s">
        <v>54</v>
      </c>
      <c r="F42" s="279"/>
      <c r="L42" s="281"/>
      <c r="M42" s="175"/>
      <c r="Q42" s="285"/>
    </row>
    <row r="43" spans="1:17" x14ac:dyDescent="0.2">
      <c r="A43" s="19"/>
      <c r="B43" t="s">
        <v>44</v>
      </c>
      <c r="D43" t="s">
        <v>47</v>
      </c>
      <c r="F43" s="279">
        <f>'Tariewe Afr'!Y30</f>
        <v>45.424596105332647</v>
      </c>
      <c r="G43" s="2" t="s">
        <v>456</v>
      </c>
      <c r="L43" s="281">
        <f>15*45.4246</f>
        <v>681.36899999999991</v>
      </c>
      <c r="M43" s="175" t="s">
        <v>85</v>
      </c>
      <c r="P43" s="169">
        <f>+L43*0.15</f>
        <v>102.20534999999998</v>
      </c>
      <c r="Q43" s="285">
        <f>+P43+L43</f>
        <v>783.57434999999987</v>
      </c>
    </row>
    <row r="44" spans="1:17" x14ac:dyDescent="0.2">
      <c r="A44" s="19"/>
      <c r="F44" s="279"/>
      <c r="G44" s="2" t="s">
        <v>457</v>
      </c>
      <c r="L44" s="281">
        <f>30*45.4246</f>
        <v>1362.7379999999998</v>
      </c>
      <c r="M44" s="175" t="s">
        <v>86</v>
      </c>
      <c r="P44" s="169">
        <f>+L44*0.15</f>
        <v>204.41069999999996</v>
      </c>
      <c r="Q44" s="285">
        <f t="shared" ref="Q44:Q46" si="11">+P44+L44</f>
        <v>1567.1486999999997</v>
      </c>
    </row>
    <row r="45" spans="1:17" x14ac:dyDescent="0.2">
      <c r="A45" s="19"/>
      <c r="F45" s="279"/>
      <c r="G45" s="2" t="s">
        <v>458</v>
      </c>
      <c r="L45" s="281">
        <f>45*45.4246</f>
        <v>2044.107</v>
      </c>
      <c r="M45" s="175" t="s">
        <v>87</v>
      </c>
      <c r="P45" s="169">
        <f t="shared" ref="P45:P46" si="12">+L45*0.15</f>
        <v>306.61604999999997</v>
      </c>
      <c r="Q45" s="285">
        <f t="shared" si="11"/>
        <v>2350.7230500000001</v>
      </c>
    </row>
    <row r="46" spans="1:17" x14ac:dyDescent="0.2">
      <c r="A46" s="19"/>
      <c r="F46" s="279"/>
      <c r="G46" s="2" t="s">
        <v>459</v>
      </c>
      <c r="L46" s="281">
        <f>60*45.4246</f>
        <v>2725.4759999999997</v>
      </c>
      <c r="M46" s="175" t="s">
        <v>88</v>
      </c>
      <c r="P46" s="169">
        <f t="shared" si="12"/>
        <v>408.82139999999993</v>
      </c>
      <c r="Q46" s="285">
        <f t="shared" si="11"/>
        <v>3134.2973999999995</v>
      </c>
    </row>
    <row r="47" spans="1:17" ht="51" x14ac:dyDescent="0.2">
      <c r="A47" s="19"/>
      <c r="B47" t="s">
        <v>41</v>
      </c>
      <c r="F47" s="279">
        <f>'Tariewe Afr'!Y31</f>
        <v>2.2186148615366403</v>
      </c>
      <c r="G47" t="s">
        <v>79</v>
      </c>
      <c r="L47" s="281"/>
      <c r="M47" s="185" t="s">
        <v>89</v>
      </c>
      <c r="P47" s="169">
        <f>+F47*0.15</f>
        <v>0.33279222923049606</v>
      </c>
      <c r="Q47" s="285">
        <f t="shared" ref="Q47" si="13">SUM(F47+P47)</f>
        <v>2.5514070907671362</v>
      </c>
    </row>
    <row r="48" spans="1:17" x14ac:dyDescent="0.2">
      <c r="A48" s="19"/>
      <c r="F48" s="279"/>
      <c r="L48" s="281"/>
      <c r="M48" s="175"/>
      <c r="P48" s="169"/>
      <c r="Q48" s="285"/>
    </row>
    <row r="49" spans="1:17" x14ac:dyDescent="0.2">
      <c r="A49" s="19"/>
      <c r="F49" s="279"/>
      <c r="L49" s="281"/>
      <c r="M49" s="175"/>
      <c r="Q49" s="285"/>
    </row>
    <row r="50" spans="1:17" x14ac:dyDescent="0.2">
      <c r="A50" s="171" t="s">
        <v>116</v>
      </c>
      <c r="F50" s="279">
        <f>4.2536*1.048</f>
        <v>4.4577727999999999</v>
      </c>
      <c r="G50" t="s">
        <v>79</v>
      </c>
      <c r="I50" s="265">
        <f>+F50</f>
        <v>4.4577727999999999</v>
      </c>
      <c r="L50" s="281"/>
      <c r="M50" s="175" t="s">
        <v>115</v>
      </c>
      <c r="P50" s="169">
        <f>+F50*0.15</f>
        <v>0.66866591999999991</v>
      </c>
      <c r="Q50" s="285">
        <f>SUM(F50+P50)</f>
        <v>5.1264387199999994</v>
      </c>
    </row>
    <row r="51" spans="1:17" x14ac:dyDescent="0.2">
      <c r="A51" s="171" t="s">
        <v>404</v>
      </c>
      <c r="F51" s="279">
        <f>3.2501*1.048</f>
        <v>3.4061048000000005</v>
      </c>
      <c r="G51" s="2" t="s">
        <v>79</v>
      </c>
      <c r="I51" s="266">
        <f>+F51</f>
        <v>3.4061048000000005</v>
      </c>
      <c r="L51" s="281"/>
      <c r="M51" s="177" t="s">
        <v>405</v>
      </c>
      <c r="P51" s="169">
        <f>+F51*0.15</f>
        <v>0.51091572000000007</v>
      </c>
      <c r="Q51" s="285">
        <f>+P51+F51</f>
        <v>3.9170205200000003</v>
      </c>
    </row>
    <row r="52" spans="1:17" x14ac:dyDescent="0.2">
      <c r="A52" s="19"/>
      <c r="F52" s="279"/>
      <c r="L52" s="281"/>
      <c r="M52" s="175"/>
      <c r="Q52" s="285"/>
    </row>
    <row r="53" spans="1:17" x14ac:dyDescent="0.2">
      <c r="A53" s="171" t="s">
        <v>90</v>
      </c>
      <c r="D53" t="s">
        <v>47</v>
      </c>
      <c r="F53" s="279">
        <f>'Tariewe Afr'!Y38</f>
        <v>53.298153652574889</v>
      </c>
      <c r="L53" s="281"/>
      <c r="M53" s="175"/>
      <c r="Q53" s="285"/>
    </row>
    <row r="54" spans="1:17" x14ac:dyDescent="0.2">
      <c r="A54" s="19" t="s">
        <v>54</v>
      </c>
      <c r="F54" s="279"/>
      <c r="G54" s="2" t="s">
        <v>460</v>
      </c>
      <c r="L54" s="281">
        <f>90*53.2982</f>
        <v>4796.8379999999997</v>
      </c>
      <c r="M54" s="175" t="s">
        <v>91</v>
      </c>
      <c r="P54" s="169">
        <f>+L54*0.15</f>
        <v>719.52569999999992</v>
      </c>
      <c r="Q54" s="285">
        <f>+L54+P54</f>
        <v>5516.3636999999999</v>
      </c>
    </row>
    <row r="55" spans="1:17" x14ac:dyDescent="0.2">
      <c r="A55" s="19" t="s">
        <v>44</v>
      </c>
      <c r="F55" s="279"/>
      <c r="G55" s="2" t="s">
        <v>461</v>
      </c>
      <c r="L55" s="281">
        <f>120*53.2982</f>
        <v>6395.7840000000006</v>
      </c>
      <c r="M55" s="175" t="s">
        <v>92</v>
      </c>
      <c r="P55" s="169">
        <f t="shared" ref="P55:P58" si="14">+L55*0.15</f>
        <v>959.36760000000004</v>
      </c>
      <c r="Q55" s="285">
        <f t="shared" ref="Q55:Q58" si="15">+L55+P55</f>
        <v>7355.1516000000011</v>
      </c>
    </row>
    <row r="56" spans="1:17" x14ac:dyDescent="0.2">
      <c r="A56" s="19"/>
      <c r="F56" s="279"/>
      <c r="G56" s="2" t="s">
        <v>462</v>
      </c>
      <c r="L56" s="281">
        <f>150*53.2982</f>
        <v>7994.7300000000005</v>
      </c>
      <c r="M56" s="175" t="s">
        <v>93</v>
      </c>
      <c r="P56" s="169">
        <f t="shared" si="14"/>
        <v>1199.2094999999999</v>
      </c>
      <c r="Q56" s="285">
        <f t="shared" si="15"/>
        <v>9193.9395000000004</v>
      </c>
    </row>
    <row r="57" spans="1:17" x14ac:dyDescent="0.2">
      <c r="A57" s="19"/>
      <c r="F57" s="279"/>
      <c r="G57" s="2" t="s">
        <v>463</v>
      </c>
      <c r="L57" s="281">
        <f>180*53.2982</f>
        <v>9593.6759999999995</v>
      </c>
      <c r="M57" s="175" t="s">
        <v>94</v>
      </c>
      <c r="P57" s="169">
        <f t="shared" si="14"/>
        <v>1439.0513999999998</v>
      </c>
      <c r="Q57" s="285">
        <f t="shared" si="15"/>
        <v>11032.7274</v>
      </c>
    </row>
    <row r="58" spans="1:17" x14ac:dyDescent="0.2">
      <c r="A58" s="19"/>
      <c r="F58" s="279"/>
      <c r="G58" s="2" t="s">
        <v>464</v>
      </c>
      <c r="L58" s="281">
        <f>240*53.2982</f>
        <v>12791.568000000001</v>
      </c>
      <c r="M58" s="175" t="s">
        <v>95</v>
      </c>
      <c r="P58" s="169">
        <f t="shared" si="14"/>
        <v>1918.7352000000001</v>
      </c>
      <c r="Q58" s="285">
        <f t="shared" si="15"/>
        <v>14710.303200000002</v>
      </c>
    </row>
    <row r="59" spans="1:17" ht="51.75" thickBot="1" x14ac:dyDescent="0.25">
      <c r="A59" s="21" t="s">
        <v>41</v>
      </c>
      <c r="B59" s="22"/>
      <c r="C59" s="22"/>
      <c r="D59" s="22"/>
      <c r="E59" s="22"/>
      <c r="F59" s="283">
        <f>'Tariewe Afr'!Y39</f>
        <v>2.4651417945873604</v>
      </c>
      <c r="G59" s="22" t="s">
        <v>79</v>
      </c>
      <c r="H59" s="22"/>
      <c r="I59" s="22"/>
      <c r="J59" s="22"/>
      <c r="K59" s="22"/>
      <c r="L59" s="173"/>
      <c r="M59" s="184" t="s">
        <v>96</v>
      </c>
      <c r="N59" s="22"/>
      <c r="O59" s="22"/>
      <c r="P59" s="170">
        <f>+F59*0.15</f>
        <v>0.36977126918810405</v>
      </c>
      <c r="Q59" s="286">
        <f>SUM(F59+P59)</f>
        <v>2.8349130637754643</v>
      </c>
    </row>
    <row r="60" spans="1:17" x14ac:dyDescent="0.2">
      <c r="F60" s="281"/>
      <c r="L60" s="14"/>
    </row>
    <row r="61" spans="1:17" ht="13.5" thickBot="1" x14ac:dyDescent="0.25">
      <c r="F61" s="281"/>
    </row>
    <row r="62" spans="1:17" x14ac:dyDescent="0.2">
      <c r="A62" s="186" t="s">
        <v>48</v>
      </c>
      <c r="B62" s="30"/>
      <c r="C62" s="30" t="s">
        <v>65</v>
      </c>
      <c r="D62" s="30"/>
      <c r="E62" s="30"/>
      <c r="F62" s="282">
        <f>'Tariewe Afr'!Y43</f>
        <v>2.4651417945873604</v>
      </c>
      <c r="G62" s="30" t="s">
        <v>97</v>
      </c>
      <c r="H62" s="30"/>
      <c r="I62" s="30"/>
      <c r="J62" s="30"/>
      <c r="K62" s="30"/>
      <c r="L62" s="30"/>
      <c r="M62" s="174" t="s">
        <v>98</v>
      </c>
      <c r="N62" s="30"/>
      <c r="O62" s="30"/>
      <c r="P62" s="187">
        <f>SUM(F62*15/100)</f>
        <v>0.36977126918810405</v>
      </c>
      <c r="Q62" s="289">
        <f t="shared" ref="Q62:Q64" si="16">SUM(F62+P62)</f>
        <v>2.8349130637754643</v>
      </c>
    </row>
    <row r="63" spans="1:17" x14ac:dyDescent="0.2">
      <c r="A63" s="19" t="s">
        <v>54</v>
      </c>
      <c r="C63" t="s">
        <v>66</v>
      </c>
      <c r="F63" s="279">
        <f>'Tariewe Afr'!Y44</f>
        <v>1.89505623290256</v>
      </c>
      <c r="G63" t="s">
        <v>99</v>
      </c>
      <c r="M63" s="175" t="s">
        <v>98</v>
      </c>
      <c r="P63" s="169">
        <f>SUM(F63*15/100)</f>
        <v>0.284258434935384</v>
      </c>
      <c r="Q63" s="285">
        <f t="shared" si="16"/>
        <v>2.1793146678379438</v>
      </c>
    </row>
    <row r="64" spans="1:17" ht="13.5" thickBot="1" x14ac:dyDescent="0.25">
      <c r="A64" s="21" t="s">
        <v>41</v>
      </c>
      <c r="B64" s="22"/>
      <c r="C64" s="22"/>
      <c r="D64" s="22" t="s">
        <v>46</v>
      </c>
      <c r="E64" s="22"/>
      <c r="F64" s="283">
        <f>'Tariewe Afr'!Y45</f>
        <v>217.66287613661137</v>
      </c>
      <c r="G64" s="22" t="s">
        <v>100</v>
      </c>
      <c r="H64" s="22"/>
      <c r="I64" s="22"/>
      <c r="J64" s="22"/>
      <c r="K64" s="22"/>
      <c r="L64" s="22"/>
      <c r="M64" s="176" t="s">
        <v>101</v>
      </c>
      <c r="N64" s="22"/>
      <c r="O64" s="22"/>
      <c r="P64" s="170">
        <f>SUM(F64*15/100)</f>
        <v>32.649431420491709</v>
      </c>
      <c r="Q64" s="286">
        <f t="shared" si="16"/>
        <v>250.31230755710308</v>
      </c>
    </row>
    <row r="66" spans="9:9" x14ac:dyDescent="0.2">
      <c r="I66">
        <f>+F66*0.15</f>
        <v>0</v>
      </c>
    </row>
  </sheetData>
  <phoneticPr fontId="5" type="noConversion"/>
  <pageMargins left="0.75" right="0.75" top="1" bottom="1" header="0.5" footer="0.5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37"/>
  <sheetViews>
    <sheetView workbookViewId="0">
      <selection activeCell="D4" sqref="D4"/>
    </sheetView>
  </sheetViews>
  <sheetFormatPr defaultRowHeight="12.75" x14ac:dyDescent="0.2"/>
  <cols>
    <col min="1" max="1" width="20.7109375" customWidth="1"/>
    <col min="2" max="2" width="15.7109375" customWidth="1"/>
    <col min="3" max="3" width="18.42578125" customWidth="1"/>
    <col min="4" max="4" width="16.5703125" customWidth="1"/>
  </cols>
  <sheetData>
    <row r="2" spans="1:4" x14ac:dyDescent="0.2">
      <c r="A2" s="53" t="s">
        <v>194</v>
      </c>
      <c r="B2" s="53" t="s">
        <v>203</v>
      </c>
      <c r="C2" s="53" t="s">
        <v>204</v>
      </c>
      <c r="D2" s="53" t="s">
        <v>205</v>
      </c>
    </row>
    <row r="4" spans="1:4" x14ac:dyDescent="0.2">
      <c r="A4" s="137" t="s">
        <v>195</v>
      </c>
      <c r="B4" s="144">
        <v>630.77</v>
      </c>
      <c r="C4" s="144">
        <f>+B4*1.059</f>
        <v>667.98542999999995</v>
      </c>
      <c r="D4" s="144">
        <f>+C4*1.056</f>
        <v>705.39261407999993</v>
      </c>
    </row>
    <row r="5" spans="1:4" x14ac:dyDescent="0.2">
      <c r="A5" s="137" t="s">
        <v>196</v>
      </c>
      <c r="B5" s="144">
        <v>0</v>
      </c>
      <c r="C5" s="144">
        <v>0</v>
      </c>
      <c r="D5" s="144">
        <v>0</v>
      </c>
    </row>
    <row r="6" spans="1:4" x14ac:dyDescent="0.2">
      <c r="A6" s="137" t="s">
        <v>197</v>
      </c>
      <c r="B6" s="144">
        <v>1720</v>
      </c>
      <c r="C6" s="144">
        <f t="shared" ref="C6:C11" si="0">+B6*1.059</f>
        <v>1821.4799999999998</v>
      </c>
      <c r="D6" s="144">
        <f t="shared" ref="D6:D11" si="1">+C6*1.056</f>
        <v>1923.4828799999998</v>
      </c>
    </row>
    <row r="7" spans="1:4" x14ac:dyDescent="0.2">
      <c r="A7" s="137" t="s">
        <v>198</v>
      </c>
      <c r="B7" s="144">
        <v>64.14</v>
      </c>
      <c r="C7" s="144">
        <f t="shared" si="0"/>
        <v>67.924260000000004</v>
      </c>
      <c r="D7" s="144">
        <f t="shared" si="1"/>
        <v>71.72801856000001</v>
      </c>
    </row>
    <row r="8" spans="1:4" x14ac:dyDescent="0.2">
      <c r="A8" s="137" t="s">
        <v>199</v>
      </c>
      <c r="B8" s="144">
        <v>160.71</v>
      </c>
      <c r="C8" s="144">
        <f t="shared" si="0"/>
        <v>170.19189</v>
      </c>
      <c r="D8" s="144">
        <f t="shared" si="1"/>
        <v>179.72263584000001</v>
      </c>
    </row>
    <row r="9" spans="1:4" x14ac:dyDescent="0.2">
      <c r="A9" s="137" t="s">
        <v>200</v>
      </c>
      <c r="B9" s="144">
        <v>102.82</v>
      </c>
      <c r="C9" s="144">
        <f t="shared" si="0"/>
        <v>108.88637999999999</v>
      </c>
      <c r="D9" s="144">
        <f t="shared" si="1"/>
        <v>114.98401727999999</v>
      </c>
    </row>
    <row r="10" spans="1:4" x14ac:dyDescent="0.2">
      <c r="A10" s="137" t="s">
        <v>201</v>
      </c>
      <c r="B10" s="144">
        <v>95.4</v>
      </c>
      <c r="C10" s="144">
        <f t="shared" si="0"/>
        <v>101.0286</v>
      </c>
      <c r="D10" s="144">
        <f t="shared" si="1"/>
        <v>106.6862016</v>
      </c>
    </row>
    <row r="11" spans="1:4" x14ac:dyDescent="0.2">
      <c r="A11" s="137" t="s">
        <v>202</v>
      </c>
      <c r="B11" s="144">
        <v>0</v>
      </c>
      <c r="C11" s="144">
        <f t="shared" si="0"/>
        <v>0</v>
      </c>
      <c r="D11" s="144">
        <f t="shared" si="1"/>
        <v>0</v>
      </c>
    </row>
    <row r="15" spans="1:4" x14ac:dyDescent="0.2">
      <c r="A15" s="53" t="s">
        <v>206</v>
      </c>
      <c r="B15" s="53" t="s">
        <v>203</v>
      </c>
      <c r="C15" s="53" t="s">
        <v>204</v>
      </c>
      <c r="D15" s="53" t="s">
        <v>205</v>
      </c>
    </row>
    <row r="17" spans="1:4" x14ac:dyDescent="0.2">
      <c r="A17" s="137" t="s">
        <v>195</v>
      </c>
      <c r="B17" s="144">
        <v>446.6</v>
      </c>
      <c r="C17" s="144">
        <f>+B17*1.059</f>
        <v>472.94940000000003</v>
      </c>
      <c r="D17" s="144">
        <f>+C17*1.056</f>
        <v>499.43456640000005</v>
      </c>
    </row>
    <row r="18" spans="1:4" x14ac:dyDescent="0.2">
      <c r="A18" s="137" t="s">
        <v>196</v>
      </c>
      <c r="B18" s="144">
        <v>0</v>
      </c>
      <c r="C18" s="144">
        <v>0</v>
      </c>
      <c r="D18" s="144">
        <v>0</v>
      </c>
    </row>
    <row r="19" spans="1:4" x14ac:dyDescent="0.2">
      <c r="A19" s="137" t="s">
        <v>197</v>
      </c>
      <c r="B19" s="144">
        <v>860</v>
      </c>
      <c r="C19" s="144">
        <f t="shared" ref="C19:C23" si="2">+B19*1.059</f>
        <v>910.7399999999999</v>
      </c>
      <c r="D19" s="144">
        <f t="shared" ref="D19:D23" si="3">+C19*1.056</f>
        <v>961.7414399999999</v>
      </c>
    </row>
    <row r="20" spans="1:4" x14ac:dyDescent="0.2">
      <c r="A20" s="137" t="s">
        <v>198</v>
      </c>
      <c r="B20" s="144">
        <v>64.14</v>
      </c>
      <c r="C20" s="144">
        <f t="shared" si="2"/>
        <v>67.924260000000004</v>
      </c>
      <c r="D20" s="144">
        <f t="shared" si="3"/>
        <v>71.72801856000001</v>
      </c>
    </row>
    <row r="21" spans="1:4" x14ac:dyDescent="0.2">
      <c r="A21" s="137" t="s">
        <v>199</v>
      </c>
      <c r="B21" s="144">
        <v>131.36000000000001</v>
      </c>
      <c r="C21" s="144">
        <f t="shared" si="2"/>
        <v>139.11024</v>
      </c>
      <c r="D21" s="144">
        <f t="shared" si="3"/>
        <v>146.90041344000002</v>
      </c>
    </row>
    <row r="22" spans="1:4" x14ac:dyDescent="0.2">
      <c r="A22" s="137" t="s">
        <v>200</v>
      </c>
      <c r="B22" s="144">
        <v>102.82</v>
      </c>
      <c r="C22" s="144">
        <f t="shared" si="2"/>
        <v>108.88637999999999</v>
      </c>
      <c r="D22" s="144">
        <f t="shared" si="3"/>
        <v>114.98401727999999</v>
      </c>
    </row>
    <row r="23" spans="1:4" x14ac:dyDescent="0.2">
      <c r="A23" s="137" t="s">
        <v>201</v>
      </c>
      <c r="B23" s="144">
        <v>95.4</v>
      </c>
      <c r="C23" s="144">
        <f t="shared" si="2"/>
        <v>101.0286</v>
      </c>
      <c r="D23" s="144">
        <f t="shared" si="3"/>
        <v>106.6862016</v>
      </c>
    </row>
    <row r="24" spans="1:4" x14ac:dyDescent="0.2">
      <c r="A24" s="137" t="s">
        <v>202</v>
      </c>
      <c r="B24" s="144"/>
      <c r="C24" s="144"/>
      <c r="D24" s="144"/>
    </row>
    <row r="28" spans="1:4" x14ac:dyDescent="0.2">
      <c r="A28" s="53" t="s">
        <v>207</v>
      </c>
      <c r="B28" s="53" t="s">
        <v>203</v>
      </c>
      <c r="C28" s="53" t="s">
        <v>204</v>
      </c>
      <c r="D28" s="53" t="s">
        <v>205</v>
      </c>
    </row>
    <row r="30" spans="1:4" x14ac:dyDescent="0.2">
      <c r="A30" s="137" t="s">
        <v>195</v>
      </c>
      <c r="B30" s="144">
        <v>248.62</v>
      </c>
      <c r="C30" s="144">
        <f>+B30*1.059</f>
        <v>263.28857999999997</v>
      </c>
      <c r="D30" s="144">
        <f>+C30*1.056</f>
        <v>278.03274047999997</v>
      </c>
    </row>
    <row r="31" spans="1:4" x14ac:dyDescent="0.2">
      <c r="A31" s="137" t="s">
        <v>196</v>
      </c>
      <c r="B31" s="144">
        <v>0</v>
      </c>
      <c r="C31" s="144">
        <v>0</v>
      </c>
      <c r="D31" s="144">
        <v>0</v>
      </c>
    </row>
    <row r="32" spans="1:4" x14ac:dyDescent="0.2">
      <c r="A32" s="137" t="s">
        <v>197</v>
      </c>
      <c r="B32" s="144">
        <v>363</v>
      </c>
      <c r="C32" s="144">
        <f t="shared" ref="C32:C36" si="4">+B32*1.059</f>
        <v>384.41699999999997</v>
      </c>
      <c r="D32" s="144">
        <f t="shared" ref="D32:D36" si="5">+C32*1.056</f>
        <v>405.94435199999998</v>
      </c>
    </row>
    <row r="33" spans="1:4" x14ac:dyDescent="0.2">
      <c r="A33" s="137" t="s">
        <v>198</v>
      </c>
      <c r="B33" s="144">
        <v>0</v>
      </c>
      <c r="C33" s="144">
        <f t="shared" si="4"/>
        <v>0</v>
      </c>
      <c r="D33" s="144">
        <f t="shared" si="5"/>
        <v>0</v>
      </c>
    </row>
    <row r="34" spans="1:4" x14ac:dyDescent="0.2">
      <c r="A34" s="137" t="s">
        <v>199</v>
      </c>
      <c r="B34" s="144">
        <v>77.41</v>
      </c>
      <c r="C34" s="144">
        <f t="shared" si="4"/>
        <v>81.977189999999993</v>
      </c>
      <c r="D34" s="144">
        <f t="shared" si="5"/>
        <v>86.567912640000003</v>
      </c>
    </row>
    <row r="35" spans="1:4" x14ac:dyDescent="0.2">
      <c r="A35" s="137" t="s">
        <v>200</v>
      </c>
      <c r="B35" s="144">
        <v>0</v>
      </c>
      <c r="C35" s="144">
        <f t="shared" si="4"/>
        <v>0</v>
      </c>
      <c r="D35" s="144">
        <f t="shared" si="5"/>
        <v>0</v>
      </c>
    </row>
    <row r="36" spans="1:4" x14ac:dyDescent="0.2">
      <c r="A36" s="137" t="s">
        <v>201</v>
      </c>
      <c r="B36" s="144">
        <v>0</v>
      </c>
      <c r="C36" s="144">
        <f t="shared" si="4"/>
        <v>0</v>
      </c>
      <c r="D36" s="144">
        <f t="shared" si="5"/>
        <v>0</v>
      </c>
    </row>
    <row r="37" spans="1:4" x14ac:dyDescent="0.2">
      <c r="A37" s="137" t="s">
        <v>202</v>
      </c>
      <c r="B37" s="144"/>
      <c r="C37" s="144"/>
      <c r="D37" s="144"/>
    </row>
  </sheetData>
  <phoneticPr fontId="5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Tariewe Afr</vt:lpstr>
      <vt:lpstr>Tariewe Eng</vt:lpstr>
      <vt:lpstr>Elek Tariewe Detail </vt:lpstr>
      <vt:lpstr>Werkspapier Table SA 14</vt:lpstr>
      <vt:lpstr>'Tariewe Afr'!Print_Area</vt:lpstr>
      <vt:lpstr>'Tariewe Eng'!Print_Area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koot1</dc:creator>
  <cp:lastModifiedBy>CFO KHM</cp:lastModifiedBy>
  <cp:lastPrinted>2022-05-27T10:24:27Z</cp:lastPrinted>
  <dcterms:created xsi:type="dcterms:W3CDTF">2008-05-13T14:15:31Z</dcterms:created>
  <dcterms:modified xsi:type="dcterms:W3CDTF">2023-07-03T09:42:21Z</dcterms:modified>
</cp:coreProperties>
</file>