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el Myburgh\Documents\Karoo Hoogland\Budget 2020 2021\"/>
    </mc:Choice>
  </mc:AlternateContent>
  <xr:revisionPtr revIDLastSave="0" documentId="13_ncr:1_{42DB91BE-32EC-4389-BB74-3BEC17D4AC69}" xr6:coauthVersionLast="45" xr6:coauthVersionMax="45" xr10:uidLastSave="{00000000-0000-0000-0000-000000000000}"/>
  <bookViews>
    <workbookView xWindow="-110" yWindow="-110" windowWidth="19420" windowHeight="10420" tabRatio="684" firstSheet="11" activeTab="29" xr2:uid="{00000000-000D-0000-FFFF-FFFF00000000}"/>
  </bookViews>
  <sheets>
    <sheet name="Summary Budget I E" sheetId="3" state="hidden" r:id="rId1"/>
    <sheet name="Summary Actual I E" sheetId="4" state="hidden" r:id="rId2"/>
    <sheet name="Summary Projected I E" sheetId="5" state="hidden" r:id="rId3"/>
    <sheet name="Performance old" sheetId="1" state="hidden" r:id="rId4"/>
    <sheet name="Cover Page" sheetId="28" state="hidden" r:id="rId5"/>
    <sheet name="Budget" sheetId="6" state="hidden" r:id="rId6"/>
    <sheet name="Sum" sheetId="7" state="hidden" r:id="rId7"/>
    <sheet name="Position" sheetId="2" state="hidden" r:id="rId8"/>
    <sheet name="Bud S" sheetId="25" state="hidden" r:id="rId9"/>
    <sheet name="Sum Dept" sheetId="31" r:id="rId10"/>
    <sheet name="Fin" sheetId="9" r:id="rId11"/>
    <sheet name="CFO" sheetId="34" r:id="rId12"/>
    <sheet name="Cs" sheetId="8" r:id="rId13"/>
    <sheet name="Mayor" sheetId="33" r:id="rId14"/>
    <sheet name="Rat" sheetId="10" r:id="rId15"/>
    <sheet name="MM" sheetId="11" r:id="rId16"/>
    <sheet name="MB" sheetId="35" r:id="rId17"/>
    <sheet name="Lib" sheetId="12" r:id="rId18"/>
    <sheet name="Pry" sheetId="13" r:id="rId19"/>
    <sheet name="Hal" sheetId="14" r:id="rId20"/>
    <sheet name="Cem" sheetId="15" r:id="rId21"/>
    <sheet name="Par" sheetId="16" r:id="rId22"/>
    <sheet name="EDv" sheetId="17" state="hidden" r:id="rId23"/>
    <sheet name="Str" sheetId="18" r:id="rId24"/>
    <sheet name="Ele" sheetId="19" r:id="rId25"/>
    <sheet name="Wat" sheetId="20" r:id="rId26"/>
    <sheet name="San" sheetId="21" r:id="rId27"/>
    <sheet name="Ref" sheetId="22" r:id="rId28"/>
    <sheet name="Infra" sheetId="36" r:id="rId29"/>
    <sheet name="Tot KPA" sheetId="24" r:id="rId30"/>
    <sheet name="Class" sheetId="26" state="hidden" r:id="rId31"/>
    <sheet name="Fu Pr Ri" sheetId="30" state="hidden" r:id="rId32"/>
    <sheet name="Capital" sheetId="27" r:id="rId33"/>
    <sheet name="Lib 2" sheetId="37" r:id="rId34"/>
    <sheet name="WP" sheetId="38" r:id="rId35"/>
    <sheet name="Christelle" sheetId="32" state="hidden" r:id="rId36"/>
    <sheet name="Motivation" sheetId="29" state="hidden" r:id="rId37"/>
  </sheets>
  <definedNames>
    <definedName name="_xlnm._FilterDatabase" localSheetId="32" hidden="1">Capital!$H$14:$I$25</definedName>
    <definedName name="_xlnm._FilterDatabase" localSheetId="20" hidden="1">Cem!$A$4:$A$119</definedName>
    <definedName name="_xlnm._FilterDatabase" localSheetId="11" hidden="1">CFO!$D$123:$E$123</definedName>
    <definedName name="_xlnm._FilterDatabase" localSheetId="30" hidden="1">Class!$H$4:$I$97</definedName>
    <definedName name="_xlnm._FilterDatabase" localSheetId="12" hidden="1">Cs!$F$124:$H$288</definedName>
    <definedName name="_xlnm._FilterDatabase" localSheetId="22" hidden="1">EDv!$A$4:$B$97</definedName>
    <definedName name="_xlnm._FilterDatabase" localSheetId="24" hidden="1">Ele!$G$124:$I$288</definedName>
    <definedName name="_xlnm._FilterDatabase" localSheetId="10" hidden="1">Fin!$G$124:$H$288</definedName>
    <definedName name="_xlnm._FilterDatabase" localSheetId="31" hidden="1">'Fu Pr Ri'!$B$93:$D$304</definedName>
    <definedName name="_xlnm._FilterDatabase" localSheetId="19" hidden="1">Hal!$G$123:$H$275</definedName>
    <definedName name="_xlnm._FilterDatabase" localSheetId="28" hidden="1">Infra!$G$124:$H$275</definedName>
    <definedName name="_xlnm._FilterDatabase" localSheetId="17" hidden="1">Lib!$G$124:$H$288</definedName>
    <definedName name="_xlnm._FilterDatabase" localSheetId="13" hidden="1">Mayor!$E$124:$F$124</definedName>
    <definedName name="_xlnm._FilterDatabase" localSheetId="16" hidden="1">MB!$G$124:$H$275</definedName>
    <definedName name="_xlnm._FilterDatabase" localSheetId="15" hidden="1">MM!$F$124:$H$288</definedName>
    <definedName name="_xlnm._FilterDatabase" localSheetId="21" hidden="1">Par!$G$124:$H$275</definedName>
    <definedName name="_xlnm._FilterDatabase" localSheetId="18" hidden="1">Pry!$G$124:$H$274</definedName>
    <definedName name="_xlnm._FilterDatabase" localSheetId="14" hidden="1">Rat!$G$124:$H$275</definedName>
    <definedName name="_xlnm._FilterDatabase" localSheetId="27" hidden="1">Ref!$G$124:$H$288</definedName>
    <definedName name="_xlnm._FilterDatabase" localSheetId="26" hidden="1">San!$G$124:$H$288</definedName>
    <definedName name="_xlnm._FilterDatabase" localSheetId="23" hidden="1">Str!$G$124:$H$288</definedName>
    <definedName name="_xlnm._FilterDatabase" localSheetId="29" hidden="1">'Tot KPA'!$G$124:$I$288</definedName>
    <definedName name="_xlnm._FilterDatabase" localSheetId="25" hidden="1">Wat!$G$124:$H$288</definedName>
    <definedName name="_xlnm.Print_Area" localSheetId="32">Capital!$B$15:$G$27</definedName>
    <definedName name="_xlnm.Print_Area" localSheetId="30">Class!$B$1:$I$265</definedName>
    <definedName name="_xlnm.Print_Area" localSheetId="24">Ele!$A$1:$H$279</definedName>
    <definedName name="_xlnm.Print_Area" localSheetId="31">'Fu Pr Ri'!$B$233:$H$238</definedName>
    <definedName name="_xlnm.Print_Area" localSheetId="28">Infra!$A$1:$H$280</definedName>
    <definedName name="_xlnm.Print_Area" localSheetId="27">Ref!$A$1:$H$280</definedName>
    <definedName name="_xlnm.Print_Area" localSheetId="26">San!$A$1:$H$280</definedName>
    <definedName name="_xlnm.Print_Area" localSheetId="9">'Sum Dept'!$A$1:$X$24</definedName>
    <definedName name="_xlnm.Print_Area" localSheetId="29">'Tot KPA'!$A$126:$A$288</definedName>
    <definedName name="_xlnm.Print_Titles" localSheetId="31">'Fu Pr Ri'!$2:$2</definedName>
    <definedName name="_xlnm.Print_Titles" localSheetId="29">'Tot KPA'!$2:$2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7" i="24" l="1"/>
  <c r="N6" i="31" l="1"/>
  <c r="P8" i="31"/>
  <c r="O6" i="31"/>
  <c r="N7" i="31"/>
  <c r="N8" i="31"/>
  <c r="O8" i="31"/>
  <c r="N9" i="31"/>
  <c r="O9" i="31"/>
  <c r="N10" i="31"/>
  <c r="N11" i="31"/>
  <c r="O11" i="31"/>
  <c r="N12" i="31"/>
  <c r="N13" i="31"/>
  <c r="O13" i="31"/>
  <c r="N14" i="31"/>
  <c r="O14" i="31"/>
  <c r="N15" i="31"/>
  <c r="O15" i="31"/>
  <c r="N16" i="31"/>
  <c r="O16" i="31"/>
  <c r="N17" i="31"/>
  <c r="N20" i="31"/>
  <c r="N21" i="31"/>
  <c r="N22" i="31"/>
  <c r="O22" i="31"/>
  <c r="E16" i="27"/>
  <c r="E254" i="18"/>
  <c r="E65" i="18"/>
  <c r="E154" i="13"/>
  <c r="E80" i="10"/>
  <c r="E87" i="22"/>
  <c r="E96" i="21"/>
  <c r="P6" i="31" l="1"/>
  <c r="G170" i="20"/>
  <c r="F170" i="20"/>
  <c r="F162" i="19"/>
  <c r="F164" i="10"/>
  <c r="F166" i="21"/>
  <c r="E152" i="21"/>
  <c r="D167" i="20"/>
  <c r="E182" i="19" l="1"/>
  <c r="D133" i="19"/>
  <c r="E280" i="11" l="1"/>
  <c r="E170" i="20"/>
  <c r="D170" i="20"/>
  <c r="D107" i="11"/>
  <c r="G139" i="24" l="1"/>
  <c r="F139" i="24"/>
  <c r="E139" i="24"/>
  <c r="D139" i="24"/>
  <c r="C139" i="24"/>
  <c r="B139" i="24"/>
  <c r="D139" i="9"/>
  <c r="H139" i="9"/>
  <c r="H139" i="34"/>
  <c r="H139" i="8"/>
  <c r="H139" i="33"/>
  <c r="H139" i="10"/>
  <c r="H139" i="11"/>
  <c r="H139" i="35"/>
  <c r="H139" i="12"/>
  <c r="H139" i="13"/>
  <c r="H139" i="14"/>
  <c r="H139" i="15"/>
  <c r="H139" i="16"/>
  <c r="H139" i="18"/>
  <c r="H139" i="20"/>
  <c r="H139" i="21"/>
  <c r="H139" i="22"/>
  <c r="H139" i="36"/>
  <c r="H139" i="19"/>
  <c r="D135" i="18"/>
  <c r="D135" i="11"/>
  <c r="D211" i="12"/>
  <c r="D211" i="9"/>
  <c r="G288" i="24" l="1"/>
  <c r="F288" i="24"/>
  <c r="E288" i="24"/>
  <c r="D288" i="24"/>
  <c r="C288" i="24"/>
  <c r="B288" i="24"/>
  <c r="G287" i="24"/>
  <c r="F287" i="24"/>
  <c r="E287" i="24"/>
  <c r="D287" i="24"/>
  <c r="C287" i="24"/>
  <c r="B287" i="24"/>
  <c r="G286" i="24"/>
  <c r="F286" i="24"/>
  <c r="E286" i="24"/>
  <c r="D286" i="24"/>
  <c r="C286" i="24"/>
  <c r="B286" i="24"/>
  <c r="G285" i="24"/>
  <c r="E285" i="24"/>
  <c r="D285" i="24"/>
  <c r="C285" i="24"/>
  <c r="B285" i="24"/>
  <c r="E284" i="24"/>
  <c r="D284" i="24"/>
  <c r="C284" i="24"/>
  <c r="B284" i="24"/>
  <c r="G283" i="24"/>
  <c r="F283" i="24"/>
  <c r="E283" i="24"/>
  <c r="D283" i="24"/>
  <c r="C283" i="24"/>
  <c r="B283" i="24"/>
  <c r="G282" i="24"/>
  <c r="F282" i="24"/>
  <c r="E282" i="24"/>
  <c r="D282" i="24"/>
  <c r="C282" i="24"/>
  <c r="B282" i="24"/>
  <c r="G281" i="24"/>
  <c r="F281" i="24"/>
  <c r="E281" i="24"/>
  <c r="D281" i="24"/>
  <c r="C281" i="24"/>
  <c r="B281" i="24"/>
  <c r="G280" i="24"/>
  <c r="F280" i="24"/>
  <c r="E280" i="24"/>
  <c r="D280" i="24"/>
  <c r="C280" i="24"/>
  <c r="B280" i="24"/>
  <c r="G279" i="24"/>
  <c r="F279" i="24"/>
  <c r="E279" i="24"/>
  <c r="D279" i="24"/>
  <c r="C279" i="24"/>
  <c r="B279" i="24"/>
  <c r="G278" i="24"/>
  <c r="F278" i="24"/>
  <c r="E278" i="24"/>
  <c r="D278" i="24"/>
  <c r="C278" i="24"/>
  <c r="B278" i="24"/>
  <c r="G277" i="24"/>
  <c r="F277" i="24"/>
  <c r="E277" i="24"/>
  <c r="D277" i="24"/>
  <c r="C277" i="24"/>
  <c r="B277" i="24"/>
  <c r="G276" i="24"/>
  <c r="F276" i="24"/>
  <c r="E276" i="24"/>
  <c r="D276" i="24"/>
  <c r="C276" i="24"/>
  <c r="B276" i="24"/>
  <c r="G275" i="24"/>
  <c r="F275" i="24"/>
  <c r="E275" i="24"/>
  <c r="D275" i="24"/>
  <c r="C275" i="24"/>
  <c r="B275" i="24"/>
  <c r="G274" i="24"/>
  <c r="F274" i="24"/>
  <c r="E274" i="24"/>
  <c r="D274" i="24"/>
  <c r="C274" i="24"/>
  <c r="B274" i="24"/>
  <c r="G273" i="24"/>
  <c r="F273" i="24"/>
  <c r="E273" i="24"/>
  <c r="D273" i="24"/>
  <c r="C273" i="24"/>
  <c r="B273" i="24"/>
  <c r="G272" i="24"/>
  <c r="F272" i="24"/>
  <c r="E272" i="24"/>
  <c r="D272" i="24"/>
  <c r="C272" i="24"/>
  <c r="B272" i="24"/>
  <c r="G271" i="24"/>
  <c r="F271" i="24"/>
  <c r="E271" i="24"/>
  <c r="D271" i="24"/>
  <c r="C271" i="24"/>
  <c r="B271" i="24"/>
  <c r="G270" i="24"/>
  <c r="F270" i="24"/>
  <c r="E270" i="24"/>
  <c r="D270" i="24"/>
  <c r="C270" i="24"/>
  <c r="B270" i="24"/>
  <c r="G269" i="24"/>
  <c r="F269" i="24"/>
  <c r="E269" i="24"/>
  <c r="D269" i="24"/>
  <c r="C269" i="24"/>
  <c r="B269" i="24"/>
  <c r="G268" i="24"/>
  <c r="F268" i="24"/>
  <c r="E268" i="24"/>
  <c r="D268" i="24"/>
  <c r="C268" i="24"/>
  <c r="B268" i="24"/>
  <c r="G267" i="24"/>
  <c r="F267" i="24"/>
  <c r="E267" i="24"/>
  <c r="D267" i="24"/>
  <c r="C267" i="24"/>
  <c r="B267" i="24"/>
  <c r="G266" i="24"/>
  <c r="F266" i="24"/>
  <c r="E266" i="24"/>
  <c r="D266" i="24"/>
  <c r="C266" i="24"/>
  <c r="B266" i="24"/>
  <c r="G265" i="24"/>
  <c r="F265" i="24"/>
  <c r="E265" i="24"/>
  <c r="D265" i="24"/>
  <c r="C265" i="24"/>
  <c r="B265" i="24"/>
  <c r="G264" i="24"/>
  <c r="F264" i="24"/>
  <c r="E264" i="24"/>
  <c r="D264" i="24"/>
  <c r="C264" i="24"/>
  <c r="B264" i="24"/>
  <c r="G263" i="24"/>
  <c r="F263" i="24"/>
  <c r="E263" i="24"/>
  <c r="D263" i="24"/>
  <c r="C263" i="24"/>
  <c r="B263" i="24"/>
  <c r="G262" i="24"/>
  <c r="F262" i="24"/>
  <c r="E262" i="24"/>
  <c r="D262" i="24"/>
  <c r="C262" i="24"/>
  <c r="B262" i="24"/>
  <c r="G261" i="24"/>
  <c r="F261" i="24"/>
  <c r="E261" i="24"/>
  <c r="D261" i="24"/>
  <c r="C261" i="24"/>
  <c r="B261" i="24"/>
  <c r="G260" i="24"/>
  <c r="F260" i="24"/>
  <c r="E260" i="24"/>
  <c r="D260" i="24"/>
  <c r="C260" i="24"/>
  <c r="B260" i="24"/>
  <c r="G259" i="24"/>
  <c r="F259" i="24"/>
  <c r="E259" i="24"/>
  <c r="D259" i="24"/>
  <c r="C259" i="24"/>
  <c r="B259" i="24"/>
  <c r="G258" i="24"/>
  <c r="F258" i="24"/>
  <c r="E258" i="24"/>
  <c r="D258" i="24"/>
  <c r="C258" i="24"/>
  <c r="B258" i="24"/>
  <c r="G257" i="24"/>
  <c r="F257" i="24"/>
  <c r="E257" i="24"/>
  <c r="D257" i="24"/>
  <c r="C257" i="24"/>
  <c r="B257" i="24"/>
  <c r="G256" i="24"/>
  <c r="F256" i="24"/>
  <c r="E256" i="24"/>
  <c r="D256" i="24"/>
  <c r="C256" i="24"/>
  <c r="B256" i="24"/>
  <c r="G255" i="24"/>
  <c r="F255" i="24"/>
  <c r="E255" i="24"/>
  <c r="D255" i="24"/>
  <c r="C255" i="24"/>
  <c r="B255" i="24"/>
  <c r="G254" i="24"/>
  <c r="F254" i="24"/>
  <c r="E254" i="24"/>
  <c r="D254" i="24"/>
  <c r="C254" i="24"/>
  <c r="B254" i="24"/>
  <c r="G253" i="24"/>
  <c r="F253" i="24"/>
  <c r="E253" i="24"/>
  <c r="D253" i="24"/>
  <c r="C253" i="24"/>
  <c r="B253" i="24"/>
  <c r="G252" i="24"/>
  <c r="F252" i="24"/>
  <c r="E252" i="24"/>
  <c r="D252" i="24"/>
  <c r="C252" i="24"/>
  <c r="B252" i="24"/>
  <c r="G251" i="24"/>
  <c r="F251" i="24"/>
  <c r="E251" i="24"/>
  <c r="D251" i="24"/>
  <c r="C251" i="24"/>
  <c r="B251" i="24"/>
  <c r="G250" i="24"/>
  <c r="F250" i="24"/>
  <c r="E250" i="24"/>
  <c r="D250" i="24"/>
  <c r="C250" i="24"/>
  <c r="B250" i="24"/>
  <c r="G249" i="24"/>
  <c r="F249" i="24"/>
  <c r="E249" i="24"/>
  <c r="D249" i="24"/>
  <c r="C249" i="24"/>
  <c r="B249" i="24"/>
  <c r="G248" i="24"/>
  <c r="F248" i="24"/>
  <c r="E248" i="24"/>
  <c r="D248" i="24"/>
  <c r="C248" i="24"/>
  <c r="B248" i="24"/>
  <c r="G247" i="24"/>
  <c r="F247" i="24"/>
  <c r="E247" i="24"/>
  <c r="D247" i="24"/>
  <c r="C247" i="24"/>
  <c r="B247" i="24"/>
  <c r="G246" i="24"/>
  <c r="F246" i="24"/>
  <c r="E246" i="24"/>
  <c r="D246" i="24"/>
  <c r="C246" i="24"/>
  <c r="B246" i="24"/>
  <c r="G245" i="24"/>
  <c r="F245" i="24"/>
  <c r="E245" i="24"/>
  <c r="D245" i="24"/>
  <c r="C245" i="24"/>
  <c r="B245" i="24"/>
  <c r="G244" i="24"/>
  <c r="F244" i="24"/>
  <c r="E244" i="24"/>
  <c r="D244" i="24"/>
  <c r="C244" i="24"/>
  <c r="B244" i="24"/>
  <c r="G243" i="24"/>
  <c r="F243" i="24"/>
  <c r="E243" i="24"/>
  <c r="D243" i="24"/>
  <c r="C243" i="24"/>
  <c r="B243" i="24"/>
  <c r="G242" i="24"/>
  <c r="F242" i="24"/>
  <c r="E242" i="24"/>
  <c r="D242" i="24"/>
  <c r="C242" i="24"/>
  <c r="B242" i="24"/>
  <c r="G241" i="24"/>
  <c r="F241" i="24"/>
  <c r="E241" i="24"/>
  <c r="D241" i="24"/>
  <c r="C241" i="24"/>
  <c r="B241" i="24"/>
  <c r="G240" i="24"/>
  <c r="F240" i="24"/>
  <c r="E240" i="24"/>
  <c r="D240" i="24"/>
  <c r="C240" i="24"/>
  <c r="B240" i="24"/>
  <c r="G239" i="24"/>
  <c r="F239" i="24"/>
  <c r="E239" i="24"/>
  <c r="D239" i="24"/>
  <c r="C239" i="24"/>
  <c r="B239" i="24"/>
  <c r="G238" i="24"/>
  <c r="F238" i="24"/>
  <c r="E238" i="24"/>
  <c r="D238" i="24"/>
  <c r="C238" i="24"/>
  <c r="B238" i="24"/>
  <c r="G237" i="24"/>
  <c r="E237" i="24"/>
  <c r="D237" i="24"/>
  <c r="C237" i="24"/>
  <c r="B237" i="24"/>
  <c r="G236" i="24"/>
  <c r="F236" i="24"/>
  <c r="E236" i="24"/>
  <c r="D236" i="24"/>
  <c r="C236" i="24"/>
  <c r="B236" i="24"/>
  <c r="G235" i="24"/>
  <c r="E235" i="24"/>
  <c r="D235" i="24"/>
  <c r="C235" i="24"/>
  <c r="B235" i="24"/>
  <c r="G234" i="24"/>
  <c r="E234" i="24"/>
  <c r="D234" i="24"/>
  <c r="C234" i="24"/>
  <c r="B234" i="24"/>
  <c r="G233" i="24"/>
  <c r="F233" i="24"/>
  <c r="E233" i="24"/>
  <c r="D233" i="24"/>
  <c r="C233" i="24"/>
  <c r="B233" i="24"/>
  <c r="G232" i="24"/>
  <c r="E232" i="24"/>
  <c r="D232" i="24"/>
  <c r="C232" i="24"/>
  <c r="B232" i="24"/>
  <c r="G231" i="24"/>
  <c r="F231" i="24"/>
  <c r="E231" i="24"/>
  <c r="D231" i="24"/>
  <c r="C231" i="24"/>
  <c r="B231" i="24"/>
  <c r="G230" i="24"/>
  <c r="E230" i="24"/>
  <c r="D230" i="24"/>
  <c r="C230" i="24"/>
  <c r="B230" i="24"/>
  <c r="G229" i="24"/>
  <c r="E229" i="24"/>
  <c r="D229" i="24"/>
  <c r="C229" i="24"/>
  <c r="B229" i="24"/>
  <c r="G228" i="24"/>
  <c r="F228" i="24"/>
  <c r="E228" i="24"/>
  <c r="D228" i="24"/>
  <c r="C228" i="24"/>
  <c r="B228" i="24"/>
  <c r="G227" i="24"/>
  <c r="E227" i="24"/>
  <c r="D227" i="24"/>
  <c r="C227" i="24"/>
  <c r="B227" i="24"/>
  <c r="G226" i="24"/>
  <c r="F226" i="24"/>
  <c r="E226" i="24"/>
  <c r="D226" i="24"/>
  <c r="C226" i="24"/>
  <c r="B226" i="24"/>
  <c r="G225" i="24"/>
  <c r="F225" i="24"/>
  <c r="E225" i="24"/>
  <c r="D225" i="24"/>
  <c r="C225" i="24"/>
  <c r="B225" i="24"/>
  <c r="G224" i="24"/>
  <c r="F224" i="24"/>
  <c r="E224" i="24"/>
  <c r="D224" i="24"/>
  <c r="C224" i="24"/>
  <c r="B224" i="24"/>
  <c r="G223" i="24"/>
  <c r="F223" i="24"/>
  <c r="E223" i="24"/>
  <c r="D223" i="24"/>
  <c r="C223" i="24"/>
  <c r="B223" i="24"/>
  <c r="G222" i="24"/>
  <c r="F222" i="24"/>
  <c r="E222" i="24"/>
  <c r="D222" i="24"/>
  <c r="C222" i="24"/>
  <c r="B222" i="24"/>
  <c r="G221" i="24"/>
  <c r="F221" i="24"/>
  <c r="E221" i="24"/>
  <c r="D221" i="24"/>
  <c r="C221" i="24"/>
  <c r="B221" i="24"/>
  <c r="G220" i="24"/>
  <c r="F220" i="24"/>
  <c r="E220" i="24"/>
  <c r="D220" i="24"/>
  <c r="C220" i="24"/>
  <c r="B220" i="24"/>
  <c r="G219" i="24"/>
  <c r="F219" i="24"/>
  <c r="E219" i="24"/>
  <c r="D219" i="24"/>
  <c r="C219" i="24"/>
  <c r="B219" i="24"/>
  <c r="G218" i="24"/>
  <c r="F218" i="24"/>
  <c r="E218" i="24"/>
  <c r="D218" i="24"/>
  <c r="C218" i="24"/>
  <c r="B218" i="24"/>
  <c r="G217" i="24"/>
  <c r="F217" i="24"/>
  <c r="E217" i="24"/>
  <c r="D217" i="24"/>
  <c r="C217" i="24"/>
  <c r="B217" i="24"/>
  <c r="G216" i="24"/>
  <c r="F216" i="24"/>
  <c r="E216" i="24"/>
  <c r="D216" i="24"/>
  <c r="C216" i="24"/>
  <c r="B216" i="24"/>
  <c r="G215" i="24"/>
  <c r="F215" i="24"/>
  <c r="E215" i="24"/>
  <c r="D215" i="24"/>
  <c r="C215" i="24"/>
  <c r="B215" i="24"/>
  <c r="G214" i="24"/>
  <c r="F214" i="24"/>
  <c r="E214" i="24"/>
  <c r="D214" i="24"/>
  <c r="C214" i="24"/>
  <c r="B214" i="24"/>
  <c r="G213" i="24"/>
  <c r="F213" i="24"/>
  <c r="E213" i="24"/>
  <c r="D213" i="24"/>
  <c r="C213" i="24"/>
  <c r="B213" i="24"/>
  <c r="G212" i="24"/>
  <c r="F212" i="24"/>
  <c r="E212" i="24"/>
  <c r="D212" i="24"/>
  <c r="C212" i="24"/>
  <c r="B212" i="24"/>
  <c r="G211" i="24"/>
  <c r="F211" i="24"/>
  <c r="E211" i="24"/>
  <c r="D211" i="24"/>
  <c r="C211" i="24"/>
  <c r="B211" i="24"/>
  <c r="G210" i="24"/>
  <c r="F210" i="24"/>
  <c r="E210" i="24"/>
  <c r="D210" i="24"/>
  <c r="C210" i="24"/>
  <c r="B210" i="24"/>
  <c r="G209" i="24"/>
  <c r="F209" i="24"/>
  <c r="E209" i="24"/>
  <c r="D209" i="24"/>
  <c r="C209" i="24"/>
  <c r="B209" i="24"/>
  <c r="G208" i="24"/>
  <c r="F208" i="24"/>
  <c r="E208" i="24"/>
  <c r="D208" i="24"/>
  <c r="C208" i="24"/>
  <c r="B208" i="24"/>
  <c r="G207" i="24"/>
  <c r="F207" i="24"/>
  <c r="E207" i="24"/>
  <c r="D207" i="24"/>
  <c r="C207" i="24"/>
  <c r="B207" i="24"/>
  <c r="G206" i="24"/>
  <c r="F206" i="24"/>
  <c r="E206" i="24"/>
  <c r="D206" i="24"/>
  <c r="C206" i="24"/>
  <c r="B206" i="24"/>
  <c r="G205" i="24"/>
  <c r="F205" i="24"/>
  <c r="E205" i="24"/>
  <c r="D205" i="24"/>
  <c r="C205" i="24"/>
  <c r="B205" i="24"/>
  <c r="G204" i="24"/>
  <c r="F204" i="24"/>
  <c r="E204" i="24"/>
  <c r="D204" i="24"/>
  <c r="C204" i="24"/>
  <c r="B204" i="24"/>
  <c r="G203" i="24"/>
  <c r="F203" i="24"/>
  <c r="E203" i="24"/>
  <c r="D203" i="24"/>
  <c r="C203" i="24"/>
  <c r="B203" i="24"/>
  <c r="G202" i="24"/>
  <c r="F202" i="24"/>
  <c r="E202" i="24"/>
  <c r="D202" i="24"/>
  <c r="C202" i="24"/>
  <c r="B202" i="24"/>
  <c r="E201" i="24"/>
  <c r="D201" i="24"/>
  <c r="C201" i="24"/>
  <c r="B201" i="24"/>
  <c r="G200" i="24"/>
  <c r="F200" i="24"/>
  <c r="E200" i="24"/>
  <c r="D200" i="24"/>
  <c r="C200" i="24"/>
  <c r="B200" i="24"/>
  <c r="G199" i="24"/>
  <c r="F199" i="24"/>
  <c r="E199" i="24"/>
  <c r="D199" i="24"/>
  <c r="C199" i="24"/>
  <c r="B199" i="24"/>
  <c r="G198" i="24"/>
  <c r="F198" i="24"/>
  <c r="E198" i="24"/>
  <c r="D198" i="24"/>
  <c r="C198" i="24"/>
  <c r="B198" i="24"/>
  <c r="E197" i="24"/>
  <c r="D197" i="24"/>
  <c r="C197" i="24"/>
  <c r="B197" i="24"/>
  <c r="G196" i="24"/>
  <c r="F196" i="24"/>
  <c r="E196" i="24"/>
  <c r="D196" i="24"/>
  <c r="C196" i="24"/>
  <c r="B196" i="24"/>
  <c r="G195" i="24"/>
  <c r="F195" i="24"/>
  <c r="E195" i="24"/>
  <c r="D195" i="24"/>
  <c r="C195" i="24"/>
  <c r="B195" i="24"/>
  <c r="G194" i="24"/>
  <c r="F194" i="24"/>
  <c r="E194" i="24"/>
  <c r="D194" i="24"/>
  <c r="C194" i="24"/>
  <c r="B194" i="24"/>
  <c r="G193" i="24"/>
  <c r="E193" i="24"/>
  <c r="D193" i="24"/>
  <c r="C193" i="24"/>
  <c r="B193" i="24"/>
  <c r="G192" i="24"/>
  <c r="F192" i="24"/>
  <c r="E192" i="24"/>
  <c r="D192" i="24"/>
  <c r="C192" i="24"/>
  <c r="B192" i="24"/>
  <c r="G191" i="24"/>
  <c r="F191" i="24"/>
  <c r="E191" i="24"/>
  <c r="D191" i="24"/>
  <c r="C191" i="24"/>
  <c r="B191" i="24"/>
  <c r="G190" i="24"/>
  <c r="E190" i="24"/>
  <c r="D190" i="24"/>
  <c r="C190" i="24"/>
  <c r="B190" i="24"/>
  <c r="G189" i="24"/>
  <c r="F189" i="24"/>
  <c r="E189" i="24"/>
  <c r="D189" i="24"/>
  <c r="C189" i="24"/>
  <c r="B189" i="24"/>
  <c r="G188" i="24"/>
  <c r="F188" i="24"/>
  <c r="E188" i="24"/>
  <c r="D188" i="24"/>
  <c r="C188" i="24"/>
  <c r="B188" i="24"/>
  <c r="G187" i="24"/>
  <c r="F187" i="24"/>
  <c r="E187" i="24"/>
  <c r="D187" i="24"/>
  <c r="C187" i="24"/>
  <c r="B187" i="24"/>
  <c r="G186" i="24"/>
  <c r="F186" i="24"/>
  <c r="E186" i="24"/>
  <c r="D186" i="24"/>
  <c r="C186" i="24"/>
  <c r="B186" i="24"/>
  <c r="G185" i="24"/>
  <c r="F185" i="24"/>
  <c r="E185" i="24"/>
  <c r="D185" i="24"/>
  <c r="C185" i="24"/>
  <c r="B185" i="24"/>
  <c r="G184" i="24"/>
  <c r="F184" i="24"/>
  <c r="E184" i="24"/>
  <c r="D184" i="24"/>
  <c r="C184" i="24"/>
  <c r="B184" i="24"/>
  <c r="G183" i="24"/>
  <c r="F183" i="24"/>
  <c r="E183" i="24"/>
  <c r="D183" i="24"/>
  <c r="C183" i="24"/>
  <c r="B183" i="24"/>
  <c r="G182" i="24"/>
  <c r="F182" i="24"/>
  <c r="E182" i="24"/>
  <c r="D182" i="24"/>
  <c r="C182" i="24"/>
  <c r="B182" i="24"/>
  <c r="G181" i="24"/>
  <c r="F181" i="24"/>
  <c r="E181" i="24"/>
  <c r="D181" i="24"/>
  <c r="C181" i="24"/>
  <c r="B181" i="24"/>
  <c r="G180" i="24"/>
  <c r="F180" i="24"/>
  <c r="E180" i="24"/>
  <c r="D180" i="24"/>
  <c r="C180" i="24"/>
  <c r="B180" i="24"/>
  <c r="G179" i="24"/>
  <c r="F179" i="24"/>
  <c r="E179" i="24"/>
  <c r="D179" i="24"/>
  <c r="C179" i="24"/>
  <c r="B179" i="24"/>
  <c r="G178" i="24"/>
  <c r="F178" i="24"/>
  <c r="E178" i="24"/>
  <c r="D178" i="24"/>
  <c r="C178" i="24"/>
  <c r="B178" i="24"/>
  <c r="G177" i="24"/>
  <c r="F177" i="24"/>
  <c r="E177" i="24"/>
  <c r="D177" i="24"/>
  <c r="C177" i="24"/>
  <c r="B177" i="24"/>
  <c r="G176" i="24"/>
  <c r="F176" i="24"/>
  <c r="E176" i="24"/>
  <c r="D176" i="24"/>
  <c r="C176" i="24"/>
  <c r="B176" i="24"/>
  <c r="G175" i="24"/>
  <c r="F175" i="24"/>
  <c r="E175" i="24"/>
  <c r="D175" i="24"/>
  <c r="C175" i="24"/>
  <c r="B175" i="24"/>
  <c r="G174" i="24"/>
  <c r="F174" i="24"/>
  <c r="E174" i="24"/>
  <c r="D174" i="24"/>
  <c r="C174" i="24"/>
  <c r="B174" i="24"/>
  <c r="G173" i="24"/>
  <c r="F173" i="24"/>
  <c r="E173" i="24"/>
  <c r="D173" i="24"/>
  <c r="C173" i="24"/>
  <c r="B173" i="24"/>
  <c r="G172" i="24"/>
  <c r="F172" i="24"/>
  <c r="E172" i="24"/>
  <c r="D172" i="24"/>
  <c r="C172" i="24"/>
  <c r="B172" i="24"/>
  <c r="G171" i="24"/>
  <c r="F171" i="24"/>
  <c r="E171" i="24"/>
  <c r="D171" i="24"/>
  <c r="C171" i="24"/>
  <c r="B171" i="24"/>
  <c r="E170" i="24"/>
  <c r="D170" i="24"/>
  <c r="C170" i="24"/>
  <c r="B170" i="24"/>
  <c r="G169" i="24"/>
  <c r="F169" i="24"/>
  <c r="E169" i="24"/>
  <c r="D169" i="24"/>
  <c r="C169" i="24"/>
  <c r="B169" i="24"/>
  <c r="G168" i="24"/>
  <c r="F168" i="24"/>
  <c r="E168" i="24"/>
  <c r="D168" i="24"/>
  <c r="C168" i="24"/>
  <c r="B168" i="24"/>
  <c r="G167" i="24"/>
  <c r="F167" i="24"/>
  <c r="E167" i="24"/>
  <c r="D167" i="24"/>
  <c r="C167" i="24"/>
  <c r="B167" i="24"/>
  <c r="G166" i="24"/>
  <c r="F166" i="24"/>
  <c r="E166" i="24"/>
  <c r="D166" i="24"/>
  <c r="C166" i="24"/>
  <c r="B166" i="24"/>
  <c r="G165" i="24"/>
  <c r="F165" i="24"/>
  <c r="E165" i="24"/>
  <c r="D165" i="24"/>
  <c r="C165" i="24"/>
  <c r="B165" i="24"/>
  <c r="G164" i="24"/>
  <c r="F164" i="24"/>
  <c r="E164" i="24"/>
  <c r="D164" i="24"/>
  <c r="C164" i="24"/>
  <c r="B164" i="24"/>
  <c r="G163" i="24"/>
  <c r="F163" i="24"/>
  <c r="E163" i="24"/>
  <c r="D163" i="24"/>
  <c r="C163" i="24"/>
  <c r="B163" i="24"/>
  <c r="G162" i="24"/>
  <c r="F162" i="24"/>
  <c r="E162" i="24"/>
  <c r="D162" i="24"/>
  <c r="C162" i="24"/>
  <c r="B162" i="24"/>
  <c r="G161" i="24"/>
  <c r="F161" i="24"/>
  <c r="E161" i="24"/>
  <c r="D161" i="24"/>
  <c r="C161" i="24"/>
  <c r="B161" i="24"/>
  <c r="G160" i="24"/>
  <c r="F160" i="24"/>
  <c r="E160" i="24"/>
  <c r="D160" i="24"/>
  <c r="C160" i="24"/>
  <c r="B160" i="24"/>
  <c r="G159" i="24"/>
  <c r="F159" i="24"/>
  <c r="E159" i="24"/>
  <c r="D159" i="24"/>
  <c r="C159" i="24"/>
  <c r="B159" i="24"/>
  <c r="E158" i="24"/>
  <c r="D158" i="24"/>
  <c r="C158" i="24"/>
  <c r="B158" i="24"/>
  <c r="G157" i="24"/>
  <c r="E157" i="24"/>
  <c r="D157" i="24"/>
  <c r="C157" i="24"/>
  <c r="B157" i="24"/>
  <c r="G156" i="24"/>
  <c r="F156" i="24"/>
  <c r="E156" i="24"/>
  <c r="D156" i="24"/>
  <c r="C156" i="24"/>
  <c r="B156" i="24"/>
  <c r="G155" i="24"/>
  <c r="F155" i="24"/>
  <c r="E155" i="24"/>
  <c r="D155" i="24"/>
  <c r="C155" i="24"/>
  <c r="B155" i="24"/>
  <c r="G154" i="24"/>
  <c r="F154" i="24"/>
  <c r="E154" i="24"/>
  <c r="D154" i="24"/>
  <c r="C154" i="24"/>
  <c r="B154" i="24"/>
  <c r="G153" i="24"/>
  <c r="F153" i="24"/>
  <c r="E153" i="24"/>
  <c r="D153" i="24"/>
  <c r="C153" i="24"/>
  <c r="B153" i="24"/>
  <c r="G152" i="24"/>
  <c r="F152" i="24"/>
  <c r="E152" i="24"/>
  <c r="D152" i="24"/>
  <c r="C152" i="24"/>
  <c r="B152" i="24"/>
  <c r="G151" i="24"/>
  <c r="F151" i="24"/>
  <c r="E151" i="24"/>
  <c r="D151" i="24"/>
  <c r="C151" i="24"/>
  <c r="B151" i="24"/>
  <c r="G150" i="24"/>
  <c r="F150" i="24"/>
  <c r="E150" i="24"/>
  <c r="D150" i="24"/>
  <c r="C150" i="24"/>
  <c r="B150" i="24"/>
  <c r="G149" i="24"/>
  <c r="F149" i="24"/>
  <c r="E149" i="24"/>
  <c r="D149" i="24"/>
  <c r="C149" i="24"/>
  <c r="B149" i="24"/>
  <c r="G148" i="24"/>
  <c r="E148" i="24"/>
  <c r="D148" i="24"/>
  <c r="C148" i="24"/>
  <c r="B148" i="24"/>
  <c r="G147" i="24"/>
  <c r="E147" i="24"/>
  <c r="D147" i="24"/>
  <c r="C147" i="24"/>
  <c r="B147" i="24"/>
  <c r="G146" i="24"/>
  <c r="F146" i="24"/>
  <c r="E146" i="24"/>
  <c r="D146" i="24"/>
  <c r="C146" i="24"/>
  <c r="B146" i="24"/>
  <c r="G145" i="24"/>
  <c r="F145" i="24"/>
  <c r="E145" i="24"/>
  <c r="D145" i="24"/>
  <c r="C145" i="24"/>
  <c r="B145" i="24"/>
  <c r="G144" i="24"/>
  <c r="F144" i="24"/>
  <c r="E144" i="24"/>
  <c r="D144" i="24"/>
  <c r="C144" i="24"/>
  <c r="B144" i="24"/>
  <c r="G143" i="24"/>
  <c r="F143" i="24"/>
  <c r="E143" i="24"/>
  <c r="D143" i="24"/>
  <c r="C143" i="24"/>
  <c r="B143" i="24"/>
  <c r="G142" i="24"/>
  <c r="F142" i="24"/>
  <c r="E142" i="24"/>
  <c r="D142" i="24"/>
  <c r="C142" i="24"/>
  <c r="B142" i="24"/>
  <c r="G141" i="24"/>
  <c r="F141" i="24"/>
  <c r="E141" i="24"/>
  <c r="D141" i="24"/>
  <c r="C141" i="24"/>
  <c r="B141" i="24"/>
  <c r="G140" i="24"/>
  <c r="F140" i="24"/>
  <c r="E140" i="24"/>
  <c r="D140" i="24"/>
  <c r="C140" i="24"/>
  <c r="B140" i="24"/>
  <c r="G138" i="24"/>
  <c r="F138" i="24"/>
  <c r="E138" i="24"/>
  <c r="D138" i="24"/>
  <c r="C138" i="24"/>
  <c r="B138" i="24"/>
  <c r="G137" i="24"/>
  <c r="F137" i="24"/>
  <c r="E137" i="24"/>
  <c r="D137" i="24"/>
  <c r="C137" i="24"/>
  <c r="B137" i="24"/>
  <c r="G136" i="24"/>
  <c r="F136" i="24"/>
  <c r="E136" i="24"/>
  <c r="D136" i="24"/>
  <c r="C136" i="24"/>
  <c r="B136" i="24"/>
  <c r="G135" i="24"/>
  <c r="F135" i="24"/>
  <c r="E135" i="24"/>
  <c r="D135" i="24"/>
  <c r="C135" i="24"/>
  <c r="B135" i="24"/>
  <c r="G134" i="24"/>
  <c r="E134" i="24"/>
  <c r="D134" i="24"/>
  <c r="C134" i="24"/>
  <c r="B134" i="24"/>
  <c r="G133" i="24"/>
  <c r="F133" i="24"/>
  <c r="E133" i="24"/>
  <c r="D133" i="24"/>
  <c r="C133" i="24"/>
  <c r="B133" i="24"/>
  <c r="G132" i="24"/>
  <c r="F132" i="24"/>
  <c r="E132" i="24"/>
  <c r="D132" i="24"/>
  <c r="C132" i="24"/>
  <c r="B132" i="24"/>
  <c r="G131" i="24"/>
  <c r="F131" i="24"/>
  <c r="E131" i="24"/>
  <c r="D131" i="24"/>
  <c r="C131" i="24"/>
  <c r="B131" i="24"/>
  <c r="G130" i="24"/>
  <c r="F130" i="24"/>
  <c r="E130" i="24"/>
  <c r="D130" i="24"/>
  <c r="C130" i="24"/>
  <c r="B130" i="24"/>
  <c r="G129" i="24"/>
  <c r="F129" i="24"/>
  <c r="E129" i="24"/>
  <c r="D129" i="24"/>
  <c r="C129" i="24"/>
  <c r="B129" i="24"/>
  <c r="G128" i="24"/>
  <c r="F128" i="24"/>
  <c r="E128" i="24"/>
  <c r="D128" i="24"/>
  <c r="C128" i="24"/>
  <c r="B128" i="24"/>
  <c r="G127" i="24"/>
  <c r="F127" i="24"/>
  <c r="E127" i="24"/>
  <c r="D127" i="24"/>
  <c r="C127" i="24"/>
  <c r="B127" i="24"/>
  <c r="G126" i="24"/>
  <c r="F126" i="24"/>
  <c r="E126" i="24"/>
  <c r="D126" i="24"/>
  <c r="C126" i="24"/>
  <c r="B126" i="24"/>
  <c r="G125" i="24"/>
  <c r="F125" i="24"/>
  <c r="E125" i="24"/>
  <c r="D125" i="24"/>
  <c r="C125" i="24"/>
  <c r="G119" i="24"/>
  <c r="F119" i="24"/>
  <c r="E119" i="24"/>
  <c r="D119" i="24"/>
  <c r="C119" i="24"/>
  <c r="B119" i="24"/>
  <c r="G118" i="24"/>
  <c r="F118" i="24"/>
  <c r="E118" i="24"/>
  <c r="D118" i="24"/>
  <c r="C118" i="24"/>
  <c r="B118" i="24"/>
  <c r="G117" i="24"/>
  <c r="F117" i="24"/>
  <c r="E117" i="24"/>
  <c r="D117" i="24"/>
  <c r="C117" i="24"/>
  <c r="B117" i="24"/>
  <c r="G116" i="24"/>
  <c r="F116" i="24"/>
  <c r="E116" i="24"/>
  <c r="D116" i="24"/>
  <c r="C116" i="24"/>
  <c r="B116" i="24"/>
  <c r="G115" i="24"/>
  <c r="F115" i="24"/>
  <c r="E115" i="24"/>
  <c r="D115" i="24"/>
  <c r="C115" i="24"/>
  <c r="B115" i="24"/>
  <c r="G114" i="24"/>
  <c r="F114" i="24"/>
  <c r="E114" i="24"/>
  <c r="D114" i="24"/>
  <c r="C114" i="24"/>
  <c r="B114" i="24"/>
  <c r="G113" i="24"/>
  <c r="F113" i="24"/>
  <c r="E113" i="24"/>
  <c r="D113" i="24"/>
  <c r="C113" i="24"/>
  <c r="B113" i="24"/>
  <c r="G112" i="24"/>
  <c r="F112" i="24"/>
  <c r="E112" i="24"/>
  <c r="D112" i="24"/>
  <c r="C112" i="24"/>
  <c r="B112" i="24"/>
  <c r="G111" i="24"/>
  <c r="F111" i="24"/>
  <c r="E111" i="24"/>
  <c r="D111" i="24"/>
  <c r="C111" i="24"/>
  <c r="B111" i="24"/>
  <c r="G110" i="24"/>
  <c r="F110" i="24"/>
  <c r="E110" i="24"/>
  <c r="D110" i="24"/>
  <c r="C110" i="24"/>
  <c r="B110" i="24"/>
  <c r="G109" i="24"/>
  <c r="F109" i="24"/>
  <c r="E109" i="24"/>
  <c r="D109" i="24"/>
  <c r="C109" i="24"/>
  <c r="B109" i="24"/>
  <c r="G108" i="24"/>
  <c r="F108" i="24"/>
  <c r="E108" i="24"/>
  <c r="D108" i="24"/>
  <c r="C108" i="24"/>
  <c r="B108" i="24"/>
  <c r="G107" i="24"/>
  <c r="F107" i="24"/>
  <c r="E107" i="24"/>
  <c r="D107" i="24"/>
  <c r="C107" i="24"/>
  <c r="B107" i="24"/>
  <c r="G106" i="24"/>
  <c r="F106" i="24"/>
  <c r="E106" i="24"/>
  <c r="D106" i="24"/>
  <c r="C106" i="24"/>
  <c r="B106" i="24"/>
  <c r="G105" i="24"/>
  <c r="F105" i="24"/>
  <c r="E105" i="24"/>
  <c r="D105" i="24"/>
  <c r="C105" i="24"/>
  <c r="B105" i="24"/>
  <c r="G104" i="24"/>
  <c r="F104" i="24"/>
  <c r="E104" i="24"/>
  <c r="D104" i="24"/>
  <c r="C104" i="24"/>
  <c r="B104" i="24"/>
  <c r="G103" i="24"/>
  <c r="F103" i="24"/>
  <c r="E103" i="24"/>
  <c r="D103" i="24"/>
  <c r="C103" i="24"/>
  <c r="B103" i="24"/>
  <c r="G102" i="24"/>
  <c r="F102" i="24"/>
  <c r="E102" i="24"/>
  <c r="D102" i="24"/>
  <c r="C102" i="24"/>
  <c r="B102" i="24"/>
  <c r="G101" i="24"/>
  <c r="F101" i="24"/>
  <c r="E101" i="24"/>
  <c r="D101" i="24"/>
  <c r="C101" i="24"/>
  <c r="B101" i="24"/>
  <c r="G100" i="24"/>
  <c r="F100" i="24"/>
  <c r="E100" i="24"/>
  <c r="D100" i="24"/>
  <c r="C100" i="24"/>
  <c r="B100" i="24"/>
  <c r="G99" i="24"/>
  <c r="F99" i="24"/>
  <c r="E99" i="24"/>
  <c r="D99" i="24"/>
  <c r="C99" i="24"/>
  <c r="B99" i="24"/>
  <c r="G98" i="24"/>
  <c r="F98" i="24"/>
  <c r="E98" i="24"/>
  <c r="D98" i="24"/>
  <c r="C98" i="24"/>
  <c r="B98" i="24"/>
  <c r="G97" i="24"/>
  <c r="F97" i="24"/>
  <c r="E97" i="24"/>
  <c r="D97" i="24"/>
  <c r="C97" i="24"/>
  <c r="B97" i="24"/>
  <c r="G96" i="24"/>
  <c r="F96" i="24"/>
  <c r="E96" i="24"/>
  <c r="D96" i="24"/>
  <c r="C96" i="24"/>
  <c r="B96" i="24"/>
  <c r="G95" i="24"/>
  <c r="F95" i="24"/>
  <c r="E95" i="24"/>
  <c r="D95" i="24"/>
  <c r="C95" i="24"/>
  <c r="B95" i="24"/>
  <c r="G94" i="24"/>
  <c r="F94" i="24"/>
  <c r="E94" i="24"/>
  <c r="D94" i="24"/>
  <c r="C94" i="24"/>
  <c r="B94" i="24"/>
  <c r="G93" i="24"/>
  <c r="F93" i="24"/>
  <c r="E93" i="24"/>
  <c r="D93" i="24"/>
  <c r="C93" i="24"/>
  <c r="B93" i="24"/>
  <c r="G92" i="24"/>
  <c r="F92" i="24"/>
  <c r="E92" i="24"/>
  <c r="D92" i="24"/>
  <c r="C92" i="24"/>
  <c r="B92" i="24"/>
  <c r="G91" i="24"/>
  <c r="E91" i="24"/>
  <c r="D91" i="24"/>
  <c r="C91" i="24"/>
  <c r="B91" i="24"/>
  <c r="G90" i="24"/>
  <c r="F90" i="24"/>
  <c r="E90" i="24"/>
  <c r="D90" i="24"/>
  <c r="C90" i="24"/>
  <c r="B90" i="24"/>
  <c r="G89" i="24"/>
  <c r="F89" i="24"/>
  <c r="E89" i="24"/>
  <c r="D89" i="24"/>
  <c r="C89" i="24"/>
  <c r="B89" i="24"/>
  <c r="G88" i="24"/>
  <c r="F88" i="24"/>
  <c r="E88" i="24"/>
  <c r="D88" i="24"/>
  <c r="C88" i="24"/>
  <c r="B88" i="24"/>
  <c r="G87" i="24"/>
  <c r="F87" i="24"/>
  <c r="E87" i="24"/>
  <c r="D87" i="24"/>
  <c r="C87" i="24"/>
  <c r="B87" i="24"/>
  <c r="G86" i="24"/>
  <c r="F86" i="24"/>
  <c r="E86" i="24"/>
  <c r="D86" i="24"/>
  <c r="C86" i="24"/>
  <c r="B86" i="24"/>
  <c r="G85" i="24"/>
  <c r="F85" i="24"/>
  <c r="E85" i="24"/>
  <c r="D85" i="24"/>
  <c r="C85" i="24"/>
  <c r="B85" i="24"/>
  <c r="G84" i="24"/>
  <c r="F84" i="24"/>
  <c r="E84" i="24"/>
  <c r="D84" i="24"/>
  <c r="C84" i="24"/>
  <c r="B84" i="24"/>
  <c r="G83" i="24"/>
  <c r="F83" i="24"/>
  <c r="E83" i="24"/>
  <c r="D83" i="24"/>
  <c r="C83" i="24"/>
  <c r="B83" i="24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E69" i="24"/>
  <c r="D69" i="24"/>
  <c r="C69" i="24"/>
  <c r="B69" i="24"/>
  <c r="G68" i="24"/>
  <c r="F68" i="24"/>
  <c r="E68" i="24"/>
  <c r="D68" i="24"/>
  <c r="C68" i="24"/>
  <c r="B68" i="24"/>
  <c r="G67" i="24"/>
  <c r="F67" i="24"/>
  <c r="E67" i="24"/>
  <c r="D67" i="24"/>
  <c r="C67" i="24"/>
  <c r="B67" i="24"/>
  <c r="G66" i="24"/>
  <c r="F66" i="24"/>
  <c r="E66" i="24"/>
  <c r="D66" i="24"/>
  <c r="C66" i="24"/>
  <c r="B66" i="24"/>
  <c r="G65" i="24"/>
  <c r="F65" i="24"/>
  <c r="E65" i="24"/>
  <c r="D65" i="24"/>
  <c r="C65" i="24"/>
  <c r="B65" i="24"/>
  <c r="G64" i="24"/>
  <c r="F64" i="24"/>
  <c r="E64" i="24"/>
  <c r="D64" i="24"/>
  <c r="C64" i="24"/>
  <c r="B64" i="24"/>
  <c r="G63" i="24"/>
  <c r="F63" i="24"/>
  <c r="E63" i="24"/>
  <c r="D63" i="24"/>
  <c r="C63" i="24"/>
  <c r="B63" i="24"/>
  <c r="G62" i="24"/>
  <c r="F62" i="24"/>
  <c r="E62" i="24"/>
  <c r="D62" i="24"/>
  <c r="C62" i="24"/>
  <c r="B62" i="24"/>
  <c r="G61" i="24"/>
  <c r="F61" i="24"/>
  <c r="E61" i="24"/>
  <c r="D61" i="24"/>
  <c r="C61" i="24"/>
  <c r="B61" i="24"/>
  <c r="G60" i="24"/>
  <c r="F60" i="24"/>
  <c r="E60" i="24"/>
  <c r="D60" i="24"/>
  <c r="C60" i="24"/>
  <c r="B60" i="24"/>
  <c r="G59" i="24"/>
  <c r="F59" i="24"/>
  <c r="E59" i="24"/>
  <c r="D59" i="24"/>
  <c r="C59" i="24"/>
  <c r="B59" i="24"/>
  <c r="G58" i="24"/>
  <c r="F58" i="24"/>
  <c r="E58" i="24"/>
  <c r="D58" i="24"/>
  <c r="C58" i="24"/>
  <c r="B58" i="24"/>
  <c r="G57" i="24"/>
  <c r="F57" i="24"/>
  <c r="E57" i="24"/>
  <c r="D57" i="24"/>
  <c r="C57" i="24"/>
  <c r="B57" i="24"/>
  <c r="G56" i="24"/>
  <c r="F56" i="24"/>
  <c r="E56" i="24"/>
  <c r="D56" i="24"/>
  <c r="C56" i="24"/>
  <c r="B56" i="24"/>
  <c r="G55" i="24"/>
  <c r="F55" i="24"/>
  <c r="E55" i="24"/>
  <c r="D55" i="24"/>
  <c r="C55" i="24"/>
  <c r="B55" i="24"/>
  <c r="G54" i="24"/>
  <c r="F54" i="24"/>
  <c r="E54" i="24"/>
  <c r="D54" i="24"/>
  <c r="C54" i="24"/>
  <c r="B54" i="24"/>
  <c r="G53" i="24"/>
  <c r="F53" i="24"/>
  <c r="E53" i="24"/>
  <c r="D53" i="24"/>
  <c r="C53" i="24"/>
  <c r="B53" i="24"/>
  <c r="G52" i="24"/>
  <c r="F52" i="24"/>
  <c r="E52" i="24"/>
  <c r="D52" i="24"/>
  <c r="C52" i="24"/>
  <c r="B52" i="24"/>
  <c r="G51" i="24"/>
  <c r="F51" i="24"/>
  <c r="E51" i="24"/>
  <c r="D51" i="24"/>
  <c r="C51" i="24"/>
  <c r="B51" i="24"/>
  <c r="G50" i="24"/>
  <c r="F50" i="24"/>
  <c r="E50" i="24"/>
  <c r="D50" i="24"/>
  <c r="C50" i="24"/>
  <c r="B50" i="24"/>
  <c r="G49" i="24"/>
  <c r="F49" i="24"/>
  <c r="E49" i="24"/>
  <c r="D49" i="24"/>
  <c r="C49" i="24"/>
  <c r="B49" i="24"/>
  <c r="G48" i="24"/>
  <c r="F48" i="24"/>
  <c r="E48" i="24"/>
  <c r="D48" i="24"/>
  <c r="C48" i="24"/>
  <c r="B48" i="24"/>
  <c r="G47" i="24"/>
  <c r="F47" i="24"/>
  <c r="E47" i="24"/>
  <c r="D47" i="24"/>
  <c r="C47" i="24"/>
  <c r="B47" i="24"/>
  <c r="G46" i="24"/>
  <c r="F46" i="24"/>
  <c r="E46" i="24"/>
  <c r="D46" i="24"/>
  <c r="C46" i="24"/>
  <c r="B46" i="24"/>
  <c r="G45" i="24"/>
  <c r="F45" i="24"/>
  <c r="E45" i="24"/>
  <c r="D45" i="24"/>
  <c r="C45" i="24"/>
  <c r="B45" i="24"/>
  <c r="G44" i="24"/>
  <c r="F44" i="24"/>
  <c r="E44" i="24"/>
  <c r="D44" i="24"/>
  <c r="C44" i="24"/>
  <c r="B44" i="24"/>
  <c r="G43" i="24"/>
  <c r="F43" i="24"/>
  <c r="E43" i="24"/>
  <c r="D43" i="24"/>
  <c r="C43" i="24"/>
  <c r="B43" i="24"/>
  <c r="G42" i="24"/>
  <c r="F42" i="24"/>
  <c r="E42" i="24"/>
  <c r="D42" i="24"/>
  <c r="C42" i="24"/>
  <c r="B42" i="24"/>
  <c r="G41" i="24"/>
  <c r="F41" i="24"/>
  <c r="E41" i="24"/>
  <c r="D41" i="24"/>
  <c r="C41" i="24"/>
  <c r="B41" i="24"/>
  <c r="G40" i="24"/>
  <c r="F40" i="24"/>
  <c r="E40" i="24"/>
  <c r="D40" i="24"/>
  <c r="C40" i="24"/>
  <c r="B40" i="24"/>
  <c r="G39" i="24"/>
  <c r="F39" i="24"/>
  <c r="E39" i="24"/>
  <c r="D39" i="24"/>
  <c r="C39" i="24"/>
  <c r="B39" i="24"/>
  <c r="G38" i="24"/>
  <c r="F38" i="24"/>
  <c r="E38" i="24"/>
  <c r="D38" i="24"/>
  <c r="C38" i="24"/>
  <c r="B38" i="24"/>
  <c r="G37" i="24"/>
  <c r="F37" i="24"/>
  <c r="E37" i="24"/>
  <c r="D37" i="24"/>
  <c r="C37" i="24"/>
  <c r="B37" i="24"/>
  <c r="G36" i="24"/>
  <c r="F36" i="24"/>
  <c r="E36" i="24"/>
  <c r="D36" i="24"/>
  <c r="C36" i="24"/>
  <c r="B36" i="24"/>
  <c r="G35" i="24"/>
  <c r="F35" i="24"/>
  <c r="E35" i="24"/>
  <c r="D35" i="24"/>
  <c r="C35" i="24"/>
  <c r="B35" i="24"/>
  <c r="G34" i="24"/>
  <c r="F34" i="24"/>
  <c r="E34" i="24"/>
  <c r="D34" i="24"/>
  <c r="C34" i="24"/>
  <c r="B34" i="24"/>
  <c r="G33" i="24"/>
  <c r="F33" i="24"/>
  <c r="E33" i="24"/>
  <c r="D33" i="24"/>
  <c r="C33" i="24"/>
  <c r="B33" i="24"/>
  <c r="G32" i="24"/>
  <c r="F32" i="24"/>
  <c r="E32" i="24"/>
  <c r="D32" i="24"/>
  <c r="C32" i="24"/>
  <c r="B32" i="24"/>
  <c r="G31" i="24"/>
  <c r="F31" i="24"/>
  <c r="E31" i="24"/>
  <c r="D31" i="24"/>
  <c r="C31" i="24"/>
  <c r="B31" i="24"/>
  <c r="G30" i="24"/>
  <c r="F30" i="24"/>
  <c r="E30" i="24"/>
  <c r="D30" i="24"/>
  <c r="C30" i="24"/>
  <c r="B30" i="24"/>
  <c r="G29" i="24"/>
  <c r="F29" i="24"/>
  <c r="E29" i="24"/>
  <c r="D29" i="24"/>
  <c r="C29" i="24"/>
  <c r="B29" i="24"/>
  <c r="G28" i="24"/>
  <c r="F28" i="24"/>
  <c r="E28" i="24"/>
  <c r="D28" i="24"/>
  <c r="C28" i="24"/>
  <c r="B28" i="24"/>
  <c r="G27" i="24"/>
  <c r="F27" i="24"/>
  <c r="E27" i="24"/>
  <c r="D27" i="24"/>
  <c r="C27" i="24"/>
  <c r="B27" i="24"/>
  <c r="G26" i="24"/>
  <c r="F26" i="24"/>
  <c r="E26" i="24"/>
  <c r="D26" i="24"/>
  <c r="C26" i="24"/>
  <c r="B26" i="24"/>
  <c r="G25" i="24"/>
  <c r="F25" i="24"/>
  <c r="E25" i="24"/>
  <c r="D25" i="24"/>
  <c r="C25" i="24"/>
  <c r="B25" i="24"/>
  <c r="G24" i="24"/>
  <c r="F24" i="24"/>
  <c r="E24" i="24"/>
  <c r="D24" i="24"/>
  <c r="C24" i="24"/>
  <c r="B24" i="24"/>
  <c r="G23" i="24"/>
  <c r="F23" i="24"/>
  <c r="E23" i="24"/>
  <c r="D23" i="24"/>
  <c r="C23" i="24"/>
  <c r="B23" i="24"/>
  <c r="G22" i="24"/>
  <c r="F22" i="24"/>
  <c r="E22" i="24"/>
  <c r="D22" i="24"/>
  <c r="C22" i="24"/>
  <c r="B22" i="24"/>
  <c r="G21" i="24"/>
  <c r="F21" i="24"/>
  <c r="E21" i="24"/>
  <c r="D21" i="24"/>
  <c r="C21" i="24"/>
  <c r="B21" i="24"/>
  <c r="G20" i="24"/>
  <c r="F20" i="24"/>
  <c r="E20" i="24"/>
  <c r="D20" i="24"/>
  <c r="C20" i="24"/>
  <c r="B20" i="24"/>
  <c r="G19" i="24"/>
  <c r="F19" i="24"/>
  <c r="E19" i="24"/>
  <c r="D19" i="24"/>
  <c r="C19" i="24"/>
  <c r="B19" i="24"/>
  <c r="G18" i="24"/>
  <c r="F18" i="24"/>
  <c r="E18" i="24"/>
  <c r="D18" i="24"/>
  <c r="C18" i="24"/>
  <c r="B18" i="24"/>
  <c r="G17" i="24"/>
  <c r="F17" i="24"/>
  <c r="E17" i="24"/>
  <c r="D17" i="24"/>
  <c r="C17" i="24"/>
  <c r="B17" i="24"/>
  <c r="G16" i="24"/>
  <c r="F16" i="24"/>
  <c r="E16" i="24"/>
  <c r="D16" i="24"/>
  <c r="C16" i="24"/>
  <c r="B16" i="24"/>
  <c r="G15" i="24"/>
  <c r="F15" i="24"/>
  <c r="E15" i="24"/>
  <c r="D15" i="24"/>
  <c r="C15" i="24"/>
  <c r="G14" i="24"/>
  <c r="F14" i="24"/>
  <c r="E14" i="24"/>
  <c r="D14" i="24"/>
  <c r="C14" i="24"/>
  <c r="B14" i="24"/>
  <c r="G13" i="24"/>
  <c r="F13" i="24"/>
  <c r="E13" i="24"/>
  <c r="D13" i="24"/>
  <c r="C13" i="24"/>
  <c r="B13" i="24"/>
  <c r="G12" i="24"/>
  <c r="F12" i="24"/>
  <c r="E12" i="24"/>
  <c r="D12" i="24"/>
  <c r="C12" i="24"/>
  <c r="B12" i="24"/>
  <c r="G11" i="24"/>
  <c r="F11" i="24"/>
  <c r="E11" i="24"/>
  <c r="D11" i="24"/>
  <c r="C11" i="24"/>
  <c r="B11" i="24"/>
  <c r="G10" i="24"/>
  <c r="F10" i="24"/>
  <c r="E10" i="24"/>
  <c r="D10" i="24"/>
  <c r="C10" i="24"/>
  <c r="B10" i="24"/>
  <c r="G9" i="24"/>
  <c r="F9" i="24"/>
  <c r="E9" i="24"/>
  <c r="D9" i="24"/>
  <c r="C9" i="24"/>
  <c r="B9" i="24"/>
  <c r="G8" i="24"/>
  <c r="F8" i="24"/>
  <c r="E8" i="24"/>
  <c r="D8" i="24"/>
  <c r="C8" i="24"/>
  <c r="B8" i="24"/>
  <c r="G7" i="24"/>
  <c r="F7" i="24"/>
  <c r="E7" i="24"/>
  <c r="D7" i="24"/>
  <c r="C7" i="24"/>
  <c r="B7" i="24"/>
  <c r="G6" i="24"/>
  <c r="F6" i="24"/>
  <c r="E6" i="24"/>
  <c r="D6" i="24"/>
  <c r="C6" i="24"/>
  <c r="B6" i="24"/>
  <c r="E272" i="22"/>
  <c r="E272" i="11"/>
  <c r="E272" i="9"/>
  <c r="F184" i="36"/>
  <c r="D193" i="35"/>
  <c r="D184" i="35"/>
  <c r="F296" i="24" l="1"/>
  <c r="G296" i="24"/>
  <c r="E296" i="24"/>
  <c r="F157" i="8"/>
  <c r="F157" i="24" s="1"/>
  <c r="H173" i="8"/>
  <c r="H174" i="8"/>
  <c r="H175" i="8"/>
  <c r="H176" i="8"/>
  <c r="H177" i="8"/>
  <c r="H178" i="8"/>
  <c r="D157" i="33"/>
  <c r="F193" i="11"/>
  <c r="F193" i="24" s="1"/>
  <c r="H33" i="9" l="1"/>
  <c r="I33" i="9"/>
  <c r="H34" i="9"/>
  <c r="I34" i="9"/>
  <c r="H35" i="9"/>
  <c r="I35" i="9"/>
  <c r="H36" i="9"/>
  <c r="I36" i="9"/>
  <c r="H37" i="9"/>
  <c r="I37" i="9"/>
  <c r="H38" i="9"/>
  <c r="I38" i="9"/>
  <c r="H33" i="34"/>
  <c r="I33" i="34"/>
  <c r="H34" i="34"/>
  <c r="I34" i="34"/>
  <c r="H35" i="34"/>
  <c r="I35" i="34"/>
  <c r="H36" i="34"/>
  <c r="I36" i="34"/>
  <c r="H37" i="34"/>
  <c r="I37" i="34"/>
  <c r="H38" i="34"/>
  <c r="I38" i="34"/>
  <c r="H33" i="8"/>
  <c r="I33" i="8"/>
  <c r="H34" i="8"/>
  <c r="I34" i="8"/>
  <c r="H35" i="8"/>
  <c r="I35" i="8"/>
  <c r="H36" i="8"/>
  <c r="I36" i="8"/>
  <c r="H37" i="8"/>
  <c r="I37" i="8"/>
  <c r="H38" i="8"/>
  <c r="I38" i="8"/>
  <c r="H33" i="33"/>
  <c r="I33" i="33"/>
  <c r="H34" i="33"/>
  <c r="I34" i="33"/>
  <c r="H35" i="33"/>
  <c r="I35" i="33"/>
  <c r="H36" i="33"/>
  <c r="I36" i="33"/>
  <c r="H37" i="33"/>
  <c r="I37" i="33"/>
  <c r="H38" i="33"/>
  <c r="I38" i="33"/>
  <c r="H33" i="10"/>
  <c r="I33" i="10"/>
  <c r="H34" i="10"/>
  <c r="I34" i="10"/>
  <c r="H35" i="10"/>
  <c r="I35" i="10"/>
  <c r="H36" i="10"/>
  <c r="I36" i="10"/>
  <c r="H37" i="10"/>
  <c r="I37" i="10"/>
  <c r="H38" i="10"/>
  <c r="I38" i="10"/>
  <c r="H33" i="11"/>
  <c r="I33" i="11"/>
  <c r="H34" i="11"/>
  <c r="I34" i="11"/>
  <c r="H35" i="11"/>
  <c r="I35" i="11"/>
  <c r="H36" i="11"/>
  <c r="I36" i="11"/>
  <c r="H37" i="11"/>
  <c r="I37" i="11"/>
  <c r="H38" i="11"/>
  <c r="I38" i="11"/>
  <c r="H33" i="35"/>
  <c r="I33" i="35"/>
  <c r="H34" i="35"/>
  <c r="I34" i="35"/>
  <c r="H35" i="35"/>
  <c r="I35" i="35"/>
  <c r="H36" i="35"/>
  <c r="I36" i="35"/>
  <c r="H37" i="35"/>
  <c r="I37" i="35"/>
  <c r="H38" i="35"/>
  <c r="I38" i="35"/>
  <c r="H33" i="12"/>
  <c r="I33" i="12"/>
  <c r="H34" i="12"/>
  <c r="I34" i="12"/>
  <c r="H35" i="12"/>
  <c r="I35" i="12"/>
  <c r="H36" i="12"/>
  <c r="I36" i="12"/>
  <c r="H37" i="12"/>
  <c r="I37" i="12"/>
  <c r="H38" i="12"/>
  <c r="I38" i="12"/>
  <c r="H33" i="13"/>
  <c r="I33" i="13"/>
  <c r="H34" i="13"/>
  <c r="I34" i="13"/>
  <c r="H35" i="13"/>
  <c r="I35" i="13"/>
  <c r="H36" i="13"/>
  <c r="I36" i="13"/>
  <c r="H37" i="13"/>
  <c r="I37" i="13"/>
  <c r="H38" i="13"/>
  <c r="I38" i="13"/>
  <c r="H33" i="14"/>
  <c r="I33" i="14"/>
  <c r="H34" i="14"/>
  <c r="I34" i="14"/>
  <c r="H35" i="14"/>
  <c r="I35" i="14"/>
  <c r="H36" i="14"/>
  <c r="I36" i="14"/>
  <c r="H37" i="14"/>
  <c r="I37" i="14"/>
  <c r="H38" i="14"/>
  <c r="I38" i="14"/>
  <c r="H33" i="15"/>
  <c r="I33" i="15"/>
  <c r="H34" i="15"/>
  <c r="I34" i="15"/>
  <c r="H35" i="15"/>
  <c r="I35" i="15"/>
  <c r="H36" i="15"/>
  <c r="I36" i="15"/>
  <c r="H37" i="15"/>
  <c r="I37" i="15"/>
  <c r="H38" i="15"/>
  <c r="I38" i="15"/>
  <c r="H33" i="16"/>
  <c r="I33" i="16"/>
  <c r="H34" i="16"/>
  <c r="I34" i="16"/>
  <c r="H35" i="16"/>
  <c r="I35" i="16"/>
  <c r="H36" i="16"/>
  <c r="I36" i="16"/>
  <c r="H37" i="16"/>
  <c r="I37" i="16"/>
  <c r="H38" i="16"/>
  <c r="I38" i="16"/>
  <c r="H33" i="18"/>
  <c r="I33" i="18"/>
  <c r="H34" i="18"/>
  <c r="I34" i="18"/>
  <c r="H35" i="18"/>
  <c r="I35" i="18"/>
  <c r="H36" i="18"/>
  <c r="I36" i="18"/>
  <c r="H37" i="18"/>
  <c r="I37" i="18"/>
  <c r="H38" i="18"/>
  <c r="I38" i="18"/>
  <c r="H33" i="20"/>
  <c r="I33" i="20"/>
  <c r="H34" i="20"/>
  <c r="I34" i="20"/>
  <c r="H35" i="20"/>
  <c r="I35" i="20"/>
  <c r="H36" i="20"/>
  <c r="I36" i="20"/>
  <c r="H37" i="20"/>
  <c r="I37" i="20"/>
  <c r="H38" i="20"/>
  <c r="I38" i="20"/>
  <c r="H33" i="21"/>
  <c r="I33" i="21"/>
  <c r="H34" i="21"/>
  <c r="I34" i="21"/>
  <c r="H35" i="21"/>
  <c r="I35" i="21"/>
  <c r="H36" i="21"/>
  <c r="I36" i="21"/>
  <c r="H37" i="21"/>
  <c r="I37" i="21"/>
  <c r="H38" i="21"/>
  <c r="I38" i="21"/>
  <c r="H33" i="22"/>
  <c r="I33" i="22"/>
  <c r="H34" i="22"/>
  <c r="I34" i="22"/>
  <c r="H35" i="22"/>
  <c r="I35" i="22"/>
  <c r="H36" i="22"/>
  <c r="I36" i="22"/>
  <c r="H37" i="22"/>
  <c r="I37" i="22"/>
  <c r="H38" i="22"/>
  <c r="I38" i="22"/>
  <c r="H33" i="36"/>
  <c r="I33" i="36"/>
  <c r="H34" i="36"/>
  <c r="I34" i="36"/>
  <c r="H35" i="36"/>
  <c r="I35" i="36"/>
  <c r="H36" i="36"/>
  <c r="I36" i="36"/>
  <c r="H37" i="36"/>
  <c r="I37" i="36"/>
  <c r="H38" i="36"/>
  <c r="I38" i="36"/>
  <c r="H33" i="19"/>
  <c r="I33" i="19"/>
  <c r="H34" i="19"/>
  <c r="I34" i="19"/>
  <c r="H35" i="19"/>
  <c r="I35" i="19"/>
  <c r="H36" i="19"/>
  <c r="I36" i="19"/>
  <c r="H37" i="19"/>
  <c r="I37" i="19"/>
  <c r="H38" i="19"/>
  <c r="I38" i="19"/>
  <c r="H17" i="9"/>
  <c r="I17" i="9"/>
  <c r="H18" i="9"/>
  <c r="I18" i="9"/>
  <c r="H19" i="9"/>
  <c r="I19" i="9"/>
  <c r="H20" i="9"/>
  <c r="I20" i="9"/>
  <c r="H21" i="9"/>
  <c r="I21" i="9"/>
  <c r="H22" i="9"/>
  <c r="I22" i="9"/>
  <c r="H17" i="34"/>
  <c r="I17" i="34"/>
  <c r="H18" i="34"/>
  <c r="I18" i="34"/>
  <c r="H19" i="34"/>
  <c r="I19" i="34"/>
  <c r="H20" i="34"/>
  <c r="I20" i="34"/>
  <c r="H21" i="34"/>
  <c r="I21" i="34"/>
  <c r="H22" i="34"/>
  <c r="I22" i="34"/>
  <c r="H17" i="8"/>
  <c r="I17" i="8"/>
  <c r="H18" i="8"/>
  <c r="I18" i="8"/>
  <c r="H19" i="8"/>
  <c r="I19" i="8"/>
  <c r="H20" i="8"/>
  <c r="I20" i="8"/>
  <c r="H21" i="8"/>
  <c r="I21" i="8"/>
  <c r="H22" i="8"/>
  <c r="I22" i="8"/>
  <c r="H17" i="33"/>
  <c r="I17" i="33"/>
  <c r="H18" i="33"/>
  <c r="I18" i="33"/>
  <c r="H19" i="33"/>
  <c r="I19" i="33"/>
  <c r="H20" i="33"/>
  <c r="I20" i="33"/>
  <c r="H21" i="33"/>
  <c r="I21" i="33"/>
  <c r="H22" i="33"/>
  <c r="I22" i="33"/>
  <c r="H17" i="10"/>
  <c r="I17" i="10"/>
  <c r="H18" i="10"/>
  <c r="I18" i="10"/>
  <c r="H19" i="10"/>
  <c r="I19" i="10"/>
  <c r="H20" i="10"/>
  <c r="I20" i="10"/>
  <c r="H21" i="10"/>
  <c r="I21" i="10"/>
  <c r="H22" i="10"/>
  <c r="I22" i="10"/>
  <c r="H17" i="11"/>
  <c r="I17" i="11"/>
  <c r="H18" i="11"/>
  <c r="I18" i="11"/>
  <c r="H19" i="11"/>
  <c r="I19" i="11"/>
  <c r="H20" i="11"/>
  <c r="I20" i="11"/>
  <c r="H21" i="11"/>
  <c r="I21" i="11"/>
  <c r="H22" i="11"/>
  <c r="I22" i="11"/>
  <c r="H17" i="35"/>
  <c r="I17" i="35"/>
  <c r="H18" i="35"/>
  <c r="I18" i="35"/>
  <c r="H19" i="35"/>
  <c r="I19" i="35"/>
  <c r="H20" i="35"/>
  <c r="I20" i="35"/>
  <c r="H21" i="35"/>
  <c r="I21" i="35"/>
  <c r="H22" i="35"/>
  <c r="I22" i="35"/>
  <c r="H17" i="12"/>
  <c r="I17" i="12"/>
  <c r="H18" i="12"/>
  <c r="I18" i="12"/>
  <c r="H19" i="12"/>
  <c r="I19" i="12"/>
  <c r="H20" i="12"/>
  <c r="I20" i="12"/>
  <c r="H21" i="12"/>
  <c r="I21" i="12"/>
  <c r="H22" i="12"/>
  <c r="I22" i="12"/>
  <c r="H17" i="13"/>
  <c r="I17" i="13"/>
  <c r="H18" i="13"/>
  <c r="I18" i="13"/>
  <c r="H19" i="13"/>
  <c r="I19" i="13"/>
  <c r="H20" i="13"/>
  <c r="I20" i="13"/>
  <c r="H21" i="13"/>
  <c r="I21" i="13"/>
  <c r="H22" i="13"/>
  <c r="I22" i="13"/>
  <c r="H17" i="14"/>
  <c r="I17" i="14"/>
  <c r="H18" i="14"/>
  <c r="I18" i="14"/>
  <c r="H19" i="14"/>
  <c r="I19" i="14"/>
  <c r="H20" i="14"/>
  <c r="I20" i="14"/>
  <c r="H21" i="14"/>
  <c r="I21" i="14"/>
  <c r="H22" i="14"/>
  <c r="I22" i="14"/>
  <c r="H17" i="15"/>
  <c r="I17" i="15"/>
  <c r="H18" i="15"/>
  <c r="I18" i="15"/>
  <c r="H19" i="15"/>
  <c r="I19" i="15"/>
  <c r="H20" i="15"/>
  <c r="I20" i="15"/>
  <c r="H21" i="15"/>
  <c r="I21" i="15"/>
  <c r="H22" i="15"/>
  <c r="I22" i="15"/>
  <c r="H17" i="16"/>
  <c r="I17" i="16"/>
  <c r="H18" i="16"/>
  <c r="I18" i="16"/>
  <c r="H19" i="16"/>
  <c r="I19" i="16"/>
  <c r="H20" i="16"/>
  <c r="I20" i="16"/>
  <c r="H21" i="16"/>
  <c r="I21" i="16"/>
  <c r="H22" i="16"/>
  <c r="I22" i="16"/>
  <c r="H17" i="18"/>
  <c r="I17" i="18"/>
  <c r="H18" i="18"/>
  <c r="I18" i="18"/>
  <c r="H19" i="18"/>
  <c r="I19" i="18"/>
  <c r="H20" i="18"/>
  <c r="I20" i="18"/>
  <c r="H21" i="18"/>
  <c r="I21" i="18"/>
  <c r="H22" i="18"/>
  <c r="I22" i="18"/>
  <c r="H17" i="20"/>
  <c r="I17" i="20"/>
  <c r="H18" i="20"/>
  <c r="I18" i="20"/>
  <c r="H19" i="20"/>
  <c r="I19" i="20"/>
  <c r="H20" i="20"/>
  <c r="I20" i="20"/>
  <c r="H21" i="20"/>
  <c r="I21" i="20"/>
  <c r="H22" i="20"/>
  <c r="I22" i="20"/>
  <c r="H17" i="21"/>
  <c r="I17" i="21"/>
  <c r="H18" i="21"/>
  <c r="I18" i="21"/>
  <c r="H19" i="21"/>
  <c r="I19" i="21"/>
  <c r="H20" i="21"/>
  <c r="I20" i="21"/>
  <c r="H21" i="21"/>
  <c r="I21" i="21"/>
  <c r="H22" i="21"/>
  <c r="I22" i="21"/>
  <c r="H17" i="22"/>
  <c r="I17" i="22"/>
  <c r="H18" i="22"/>
  <c r="I18" i="22"/>
  <c r="H19" i="22"/>
  <c r="I19" i="22"/>
  <c r="H20" i="22"/>
  <c r="I20" i="22"/>
  <c r="H21" i="22"/>
  <c r="I21" i="22"/>
  <c r="H22" i="22"/>
  <c r="I22" i="22"/>
  <c r="H17" i="36"/>
  <c r="I17" i="36"/>
  <c r="H18" i="36"/>
  <c r="I18" i="36"/>
  <c r="H19" i="36"/>
  <c r="I19" i="36"/>
  <c r="H20" i="36"/>
  <c r="I20" i="36"/>
  <c r="H21" i="36"/>
  <c r="I21" i="36"/>
  <c r="H22" i="36"/>
  <c r="I22" i="36"/>
  <c r="H17" i="19"/>
  <c r="I17" i="19"/>
  <c r="H18" i="19"/>
  <c r="I18" i="19"/>
  <c r="H19" i="19"/>
  <c r="I19" i="19"/>
  <c r="H20" i="19"/>
  <c r="I20" i="19"/>
  <c r="H21" i="19"/>
  <c r="I21" i="19"/>
  <c r="H22" i="19"/>
  <c r="I22" i="19"/>
  <c r="H115" i="9"/>
  <c r="I115" i="9"/>
  <c r="H116" i="9"/>
  <c r="I116" i="9"/>
  <c r="H117" i="9"/>
  <c r="I117" i="9"/>
  <c r="H115" i="34"/>
  <c r="I115" i="34"/>
  <c r="H116" i="34"/>
  <c r="I116" i="34"/>
  <c r="H117" i="34"/>
  <c r="I117" i="34"/>
  <c r="H115" i="8"/>
  <c r="I115" i="8"/>
  <c r="H116" i="8"/>
  <c r="I116" i="8"/>
  <c r="H117" i="8"/>
  <c r="I117" i="8"/>
  <c r="H115" i="33"/>
  <c r="I115" i="33"/>
  <c r="H116" i="33"/>
  <c r="I116" i="33"/>
  <c r="H117" i="33"/>
  <c r="I117" i="33"/>
  <c r="H115" i="10"/>
  <c r="I115" i="10"/>
  <c r="H116" i="10"/>
  <c r="I116" i="10"/>
  <c r="H117" i="10"/>
  <c r="I117" i="10"/>
  <c r="H115" i="11"/>
  <c r="I115" i="11"/>
  <c r="H116" i="11"/>
  <c r="I116" i="11"/>
  <c r="H117" i="11"/>
  <c r="I117" i="11"/>
  <c r="H115" i="35"/>
  <c r="I115" i="35"/>
  <c r="H116" i="35"/>
  <c r="I116" i="35"/>
  <c r="H117" i="35"/>
  <c r="I117" i="35"/>
  <c r="H115" i="12"/>
  <c r="I115" i="12"/>
  <c r="H116" i="12"/>
  <c r="I116" i="12"/>
  <c r="H117" i="12"/>
  <c r="I117" i="12"/>
  <c r="H115" i="13"/>
  <c r="I115" i="13"/>
  <c r="H116" i="13"/>
  <c r="I116" i="13"/>
  <c r="H117" i="13"/>
  <c r="I117" i="13"/>
  <c r="H115" i="14"/>
  <c r="I115" i="14"/>
  <c r="H116" i="14"/>
  <c r="I116" i="14"/>
  <c r="H117" i="14"/>
  <c r="I117" i="14"/>
  <c r="H115" i="15"/>
  <c r="I115" i="15"/>
  <c r="H116" i="15"/>
  <c r="I116" i="15"/>
  <c r="H117" i="15"/>
  <c r="I117" i="15"/>
  <c r="H115" i="16"/>
  <c r="I115" i="16"/>
  <c r="H116" i="16"/>
  <c r="I116" i="16"/>
  <c r="H117" i="16"/>
  <c r="I117" i="16"/>
  <c r="H115" i="18"/>
  <c r="I115" i="18"/>
  <c r="H116" i="18"/>
  <c r="I116" i="18"/>
  <c r="H117" i="18"/>
  <c r="I117" i="18"/>
  <c r="H115" i="19"/>
  <c r="I115" i="19"/>
  <c r="H116" i="19"/>
  <c r="I116" i="19"/>
  <c r="H117" i="19"/>
  <c r="I117" i="19"/>
  <c r="H115" i="21"/>
  <c r="I115" i="21"/>
  <c r="H116" i="21"/>
  <c r="I116" i="21"/>
  <c r="H117" i="21"/>
  <c r="I117" i="21"/>
  <c r="H115" i="22"/>
  <c r="I115" i="22"/>
  <c r="H116" i="22"/>
  <c r="I116" i="22"/>
  <c r="H117" i="22"/>
  <c r="I117" i="22"/>
  <c r="H115" i="36"/>
  <c r="I115" i="36"/>
  <c r="H116" i="36"/>
  <c r="I116" i="36"/>
  <c r="H117" i="36"/>
  <c r="I117" i="36"/>
  <c r="H115" i="20"/>
  <c r="I115" i="20"/>
  <c r="H116" i="20"/>
  <c r="I116" i="20"/>
  <c r="H117" i="20"/>
  <c r="I117" i="20"/>
  <c r="I47" i="9"/>
  <c r="H47" i="9"/>
  <c r="I46" i="9"/>
  <c r="H46" i="9"/>
  <c r="I45" i="9"/>
  <c r="H45" i="9"/>
  <c r="I47" i="34"/>
  <c r="H47" i="34"/>
  <c r="I46" i="34"/>
  <c r="H46" i="34"/>
  <c r="I45" i="34"/>
  <c r="H45" i="34"/>
  <c r="I47" i="8"/>
  <c r="H47" i="8"/>
  <c r="I46" i="8"/>
  <c r="H46" i="8"/>
  <c r="I45" i="8"/>
  <c r="H45" i="8"/>
  <c r="I47" i="33"/>
  <c r="H47" i="33"/>
  <c r="I46" i="33"/>
  <c r="H46" i="33"/>
  <c r="I45" i="33"/>
  <c r="H45" i="33"/>
  <c r="I47" i="10"/>
  <c r="H47" i="10"/>
  <c r="I46" i="10"/>
  <c r="H46" i="10"/>
  <c r="I45" i="10"/>
  <c r="H45" i="10"/>
  <c r="I47" i="11"/>
  <c r="H47" i="11"/>
  <c r="I46" i="11"/>
  <c r="H46" i="11"/>
  <c r="I45" i="11"/>
  <c r="H45" i="11"/>
  <c r="I47" i="35"/>
  <c r="H47" i="35"/>
  <c r="I46" i="35"/>
  <c r="H46" i="35"/>
  <c r="I45" i="35"/>
  <c r="H45" i="35"/>
  <c r="I47" i="12"/>
  <c r="H47" i="12"/>
  <c r="I46" i="12"/>
  <c r="H46" i="12"/>
  <c r="I45" i="12"/>
  <c r="H45" i="12"/>
  <c r="I47" i="13"/>
  <c r="H47" i="13"/>
  <c r="I46" i="13"/>
  <c r="H46" i="13"/>
  <c r="I45" i="13"/>
  <c r="H45" i="13"/>
  <c r="I47" i="14"/>
  <c r="H47" i="14"/>
  <c r="I46" i="14"/>
  <c r="H46" i="14"/>
  <c r="I45" i="14"/>
  <c r="H45" i="14"/>
  <c r="I47" i="15"/>
  <c r="H47" i="15"/>
  <c r="I46" i="15"/>
  <c r="H46" i="15"/>
  <c r="I45" i="15"/>
  <c r="H45" i="15"/>
  <c r="I47" i="16"/>
  <c r="H47" i="16"/>
  <c r="I46" i="16"/>
  <c r="H46" i="16"/>
  <c r="I45" i="16"/>
  <c r="H45" i="16"/>
  <c r="I47" i="18"/>
  <c r="H47" i="18"/>
  <c r="I46" i="18"/>
  <c r="H46" i="18"/>
  <c r="I45" i="18"/>
  <c r="H45" i="18"/>
  <c r="I47" i="19"/>
  <c r="H47" i="19"/>
  <c r="I46" i="19"/>
  <c r="H46" i="19"/>
  <c r="I45" i="19"/>
  <c r="H45" i="19"/>
  <c r="I47" i="21"/>
  <c r="H47" i="21"/>
  <c r="I46" i="21"/>
  <c r="H46" i="21"/>
  <c r="I45" i="21"/>
  <c r="H45" i="21"/>
  <c r="I47" i="22"/>
  <c r="H47" i="22"/>
  <c r="I46" i="22"/>
  <c r="H46" i="22"/>
  <c r="I45" i="22"/>
  <c r="H45" i="22"/>
  <c r="I47" i="36"/>
  <c r="H47" i="36"/>
  <c r="I46" i="36"/>
  <c r="H46" i="36"/>
  <c r="I45" i="36"/>
  <c r="H45" i="36"/>
  <c r="I47" i="20"/>
  <c r="H47" i="20"/>
  <c r="I46" i="20"/>
  <c r="H46" i="20"/>
  <c r="I45" i="20"/>
  <c r="H45" i="20"/>
  <c r="H97" i="9"/>
  <c r="I97" i="9"/>
  <c r="H98" i="9"/>
  <c r="I98" i="9"/>
  <c r="H97" i="34"/>
  <c r="I97" i="34"/>
  <c r="H98" i="34"/>
  <c r="I98" i="34"/>
  <c r="H97" i="8"/>
  <c r="I97" i="8"/>
  <c r="H98" i="8"/>
  <c r="I98" i="8"/>
  <c r="H97" i="33"/>
  <c r="I97" i="33"/>
  <c r="H98" i="33"/>
  <c r="I98" i="33"/>
  <c r="H97" i="10"/>
  <c r="I97" i="10"/>
  <c r="H98" i="10"/>
  <c r="I98" i="10"/>
  <c r="H97" i="11"/>
  <c r="I97" i="11"/>
  <c r="H98" i="11"/>
  <c r="I98" i="11"/>
  <c r="H97" i="35"/>
  <c r="I97" i="35"/>
  <c r="H98" i="35"/>
  <c r="I98" i="35"/>
  <c r="H97" i="12"/>
  <c r="I97" i="12"/>
  <c r="H98" i="12"/>
  <c r="I98" i="12"/>
  <c r="H97" i="13"/>
  <c r="I97" i="13"/>
  <c r="H98" i="13"/>
  <c r="I98" i="13"/>
  <c r="H97" i="14"/>
  <c r="I97" i="14"/>
  <c r="H98" i="14"/>
  <c r="I98" i="14"/>
  <c r="H97" i="15"/>
  <c r="I97" i="15"/>
  <c r="H98" i="15"/>
  <c r="I98" i="15"/>
  <c r="H97" i="16"/>
  <c r="I97" i="16"/>
  <c r="H98" i="16"/>
  <c r="I98" i="16"/>
  <c r="H97" i="18"/>
  <c r="I97" i="18"/>
  <c r="H98" i="18"/>
  <c r="I98" i="18"/>
  <c r="H97" i="19"/>
  <c r="I97" i="19"/>
  <c r="H98" i="19"/>
  <c r="I98" i="19"/>
  <c r="H97" i="20"/>
  <c r="I97" i="20"/>
  <c r="H98" i="20"/>
  <c r="I98" i="20"/>
  <c r="H97" i="22"/>
  <c r="I97" i="22"/>
  <c r="H98" i="22"/>
  <c r="I98" i="22"/>
  <c r="H97" i="36"/>
  <c r="I97" i="36"/>
  <c r="H98" i="36"/>
  <c r="I98" i="36"/>
  <c r="H97" i="21"/>
  <c r="I97" i="21"/>
  <c r="H98" i="21"/>
  <c r="I98" i="21"/>
  <c r="I43" i="9"/>
  <c r="H43" i="9"/>
  <c r="I43" i="34"/>
  <c r="H43" i="34"/>
  <c r="I43" i="8"/>
  <c r="H43" i="8"/>
  <c r="I43" i="33"/>
  <c r="H43" i="33"/>
  <c r="I43" i="10"/>
  <c r="H43" i="10"/>
  <c r="I43" i="11"/>
  <c r="H43" i="11"/>
  <c r="I43" i="35"/>
  <c r="H43" i="35"/>
  <c r="I43" i="12"/>
  <c r="H43" i="12"/>
  <c r="I43" i="13"/>
  <c r="H43" i="13"/>
  <c r="I43" i="14"/>
  <c r="H43" i="14"/>
  <c r="I43" i="15"/>
  <c r="H43" i="15"/>
  <c r="I43" i="16"/>
  <c r="H43" i="16"/>
  <c r="I43" i="18"/>
  <c r="H43" i="18"/>
  <c r="I43" i="19"/>
  <c r="H43" i="19"/>
  <c r="I43" i="20"/>
  <c r="H43" i="20"/>
  <c r="I43" i="21"/>
  <c r="H43" i="21"/>
  <c r="I43" i="36"/>
  <c r="H43" i="36"/>
  <c r="I43" i="22"/>
  <c r="H43" i="22"/>
  <c r="I41" i="9"/>
  <c r="H41" i="9"/>
  <c r="I40" i="9"/>
  <c r="H40" i="9"/>
  <c r="I41" i="34"/>
  <c r="H41" i="34"/>
  <c r="I40" i="34"/>
  <c r="H40" i="34"/>
  <c r="I41" i="8"/>
  <c r="H41" i="8"/>
  <c r="I40" i="8"/>
  <c r="H40" i="8"/>
  <c r="I41" i="33"/>
  <c r="H41" i="33"/>
  <c r="I40" i="33"/>
  <c r="H40" i="33"/>
  <c r="I41" i="10"/>
  <c r="H41" i="10"/>
  <c r="I40" i="10"/>
  <c r="H40" i="10"/>
  <c r="I41" i="11"/>
  <c r="H41" i="11"/>
  <c r="I40" i="11"/>
  <c r="H40" i="11"/>
  <c r="I41" i="35"/>
  <c r="H41" i="35"/>
  <c r="I40" i="35"/>
  <c r="H40" i="35"/>
  <c r="I41" i="12"/>
  <c r="H41" i="12"/>
  <c r="I40" i="12"/>
  <c r="H40" i="12"/>
  <c r="I41" i="13"/>
  <c r="H41" i="13"/>
  <c r="I40" i="13"/>
  <c r="H40" i="13"/>
  <c r="I41" i="14"/>
  <c r="H41" i="14"/>
  <c r="I40" i="14"/>
  <c r="H40" i="14"/>
  <c r="I41" i="15"/>
  <c r="H41" i="15"/>
  <c r="I40" i="15"/>
  <c r="H40" i="15"/>
  <c r="I41" i="16"/>
  <c r="H41" i="16"/>
  <c r="I40" i="16"/>
  <c r="H40" i="16"/>
  <c r="I41" i="18"/>
  <c r="H41" i="18"/>
  <c r="I40" i="18"/>
  <c r="H40" i="18"/>
  <c r="I41" i="19"/>
  <c r="H41" i="19"/>
  <c r="I40" i="19"/>
  <c r="H40" i="19"/>
  <c r="I41" i="20"/>
  <c r="H41" i="20"/>
  <c r="I40" i="20"/>
  <c r="H40" i="20"/>
  <c r="I41" i="21"/>
  <c r="H41" i="21"/>
  <c r="I40" i="21"/>
  <c r="H40" i="21"/>
  <c r="I41" i="36"/>
  <c r="H41" i="36"/>
  <c r="I40" i="36"/>
  <c r="H40" i="36"/>
  <c r="I41" i="22"/>
  <c r="H41" i="22"/>
  <c r="I40" i="22"/>
  <c r="H40" i="22"/>
  <c r="D87" i="22"/>
  <c r="I88" i="9"/>
  <c r="I88" i="34"/>
  <c r="I88" i="8"/>
  <c r="I88" i="33"/>
  <c r="I88" i="10"/>
  <c r="I88" i="11"/>
  <c r="I88" i="35"/>
  <c r="I88" i="12"/>
  <c r="I88" i="13"/>
  <c r="I88" i="14"/>
  <c r="I88" i="15"/>
  <c r="I88" i="16"/>
  <c r="I88" i="18"/>
  <c r="I88" i="19"/>
  <c r="I88" i="20"/>
  <c r="I88" i="21"/>
  <c r="I88" i="36"/>
  <c r="I88" i="22"/>
  <c r="H88" i="9"/>
  <c r="H88" i="34"/>
  <c r="H88" i="8"/>
  <c r="H88" i="33"/>
  <c r="H88" i="10"/>
  <c r="H88" i="11"/>
  <c r="H88" i="35"/>
  <c r="H88" i="12"/>
  <c r="H88" i="13"/>
  <c r="H88" i="14"/>
  <c r="H88" i="15"/>
  <c r="H88" i="16"/>
  <c r="H88" i="18"/>
  <c r="H88" i="19"/>
  <c r="H88" i="20"/>
  <c r="H88" i="21"/>
  <c r="H88" i="36"/>
  <c r="H88" i="22"/>
  <c r="E277" i="9" l="1"/>
  <c r="F232" i="13" l="1"/>
  <c r="F232" i="24" s="1"/>
  <c r="F90" i="13"/>
  <c r="G100" i="13"/>
  <c r="F100" i="13"/>
  <c r="E100" i="13"/>
  <c r="D57" i="13"/>
  <c r="E280" i="13"/>
  <c r="E125" i="13"/>
  <c r="C25" i="38" l="1"/>
  <c r="C19" i="38"/>
  <c r="E8" i="38" l="1"/>
  <c r="D8" i="38"/>
  <c r="C8" i="38"/>
  <c r="E6" i="38"/>
  <c r="D6" i="38"/>
  <c r="C6" i="38"/>
  <c r="E5" i="38"/>
  <c r="D5" i="38"/>
  <c r="C5" i="38"/>
  <c r="E7" i="38"/>
  <c r="D7" i="38"/>
  <c r="E4" i="38"/>
  <c r="D4" i="38"/>
  <c r="E3" i="38"/>
  <c r="D3" i="38"/>
  <c r="C7" i="38"/>
  <c r="C4" i="38"/>
  <c r="C3" i="38"/>
  <c r="D198" i="34"/>
  <c r="F148" i="9"/>
  <c r="F148" i="24" s="1"/>
  <c r="F147" i="9"/>
  <c r="F147" i="24" s="1"/>
  <c r="F99" i="9"/>
  <c r="D9" i="38" l="1"/>
  <c r="E9" i="38"/>
  <c r="C9" i="38"/>
  <c r="C284" i="8"/>
  <c r="C260" i="9"/>
  <c r="C133" i="19"/>
  <c r="C213" i="9"/>
  <c r="C6" i="19"/>
  <c r="C55" i="20"/>
  <c r="C114" i="20"/>
  <c r="C15" i="19"/>
  <c r="C264" i="8"/>
  <c r="C130" i="9"/>
  <c r="C129" i="9"/>
  <c r="C285" i="20"/>
  <c r="C226" i="19"/>
  <c r="C232" i="16"/>
  <c r="C232" i="14"/>
  <c r="C232" i="13"/>
  <c r="C131" i="9"/>
  <c r="B131" i="9"/>
  <c r="C59" i="12"/>
  <c r="C272" i="22"/>
  <c r="C214" i="22"/>
  <c r="C214" i="21"/>
  <c r="C190" i="21"/>
  <c r="C152" i="21"/>
  <c r="C272" i="18"/>
  <c r="C198" i="18"/>
  <c r="C193" i="18"/>
  <c r="C191" i="18"/>
  <c r="C184" i="18"/>
  <c r="C183" i="18"/>
  <c r="C280" i="13"/>
  <c r="C280" i="12"/>
  <c r="C219" i="12"/>
  <c r="C216" i="12"/>
  <c r="C193" i="11"/>
  <c r="C280" i="11"/>
  <c r="C272" i="11"/>
  <c r="C159" i="33"/>
  <c r="C158" i="33"/>
  <c r="C159" i="8"/>
  <c r="C280" i="9"/>
  <c r="C277" i="9"/>
  <c r="C276" i="9"/>
  <c r="C272" i="9"/>
  <c r="C125" i="9"/>
  <c r="C80" i="10"/>
  <c r="C99" i="9"/>
  <c r="C87" i="22"/>
  <c r="C25" i="22"/>
  <c r="C182" i="19"/>
  <c r="C280" i="20"/>
  <c r="C214" i="20"/>
  <c r="C25" i="20"/>
  <c r="C100" i="13"/>
  <c r="C11" i="13"/>
  <c r="C10" i="13"/>
  <c r="C90" i="13"/>
  <c r="C96" i="21"/>
  <c r="C25" i="21"/>
  <c r="C18" i="19"/>
  <c r="B6" i="19"/>
  <c r="B18" i="19"/>
  <c r="C68" i="19"/>
  <c r="C25" i="19"/>
  <c r="D9" i="27"/>
  <c r="D5" i="27"/>
  <c r="B272" i="22"/>
  <c r="B214" i="22"/>
  <c r="B87" i="22"/>
  <c r="B25" i="22"/>
  <c r="B214" i="21"/>
  <c r="B190" i="21"/>
  <c r="B152" i="21"/>
  <c r="B96" i="21"/>
  <c r="B25" i="21"/>
  <c r="B280" i="20"/>
  <c r="B214" i="20"/>
  <c r="B114" i="20"/>
  <c r="B25" i="20"/>
  <c r="B182" i="19"/>
  <c r="B68" i="19"/>
  <c r="B25" i="19"/>
  <c r="B15" i="19"/>
  <c r="B15" i="24" s="1"/>
  <c r="B272" i="18"/>
  <c r="B198" i="18"/>
  <c r="B193" i="18"/>
  <c r="B191" i="18"/>
  <c r="B184" i="18"/>
  <c r="B183" i="18"/>
  <c r="B280" i="13"/>
  <c r="B280" i="12"/>
  <c r="B219" i="12"/>
  <c r="B216" i="12"/>
  <c r="B280" i="11"/>
  <c r="B272" i="11"/>
  <c r="B80" i="10"/>
  <c r="B159" i="33"/>
  <c r="B158" i="33"/>
  <c r="B159" i="8"/>
  <c r="B280" i="9"/>
  <c r="B277" i="9"/>
  <c r="B276" i="9"/>
  <c r="B272" i="9"/>
  <c r="B130" i="9"/>
  <c r="B125" i="9"/>
  <c r="G207" i="37" l="1"/>
  <c r="F207" i="37"/>
  <c r="G42" i="37"/>
  <c r="G97" i="37" s="1"/>
  <c r="F255" i="37"/>
  <c r="G265" i="37"/>
  <c r="F265" i="37"/>
  <c r="C265" i="37"/>
  <c r="B265" i="37"/>
  <c r="H263" i="37"/>
  <c r="H262" i="37"/>
  <c r="H261" i="37"/>
  <c r="H260" i="37"/>
  <c r="H259" i="37"/>
  <c r="H258" i="37"/>
  <c r="H257" i="37"/>
  <c r="H256" i="37"/>
  <c r="H255" i="37"/>
  <c r="E255" i="37"/>
  <c r="H254" i="37"/>
  <c r="H253" i="37"/>
  <c r="H252" i="37"/>
  <c r="H251" i="37"/>
  <c r="H250" i="37"/>
  <c r="H249" i="37"/>
  <c r="H248" i="37"/>
  <c r="H247" i="37"/>
  <c r="H246" i="37"/>
  <c r="H245" i="37"/>
  <c r="H244" i="37"/>
  <c r="H243" i="37"/>
  <c r="H242" i="37"/>
  <c r="H241" i="37"/>
  <c r="H240" i="37"/>
  <c r="H239" i="37"/>
  <c r="H238" i="37"/>
  <c r="H237" i="37"/>
  <c r="H236" i="37"/>
  <c r="H235" i="37"/>
  <c r="H234" i="37"/>
  <c r="H233" i="37"/>
  <c r="H232" i="37"/>
  <c r="H231" i="37"/>
  <c r="H230" i="37"/>
  <c r="H229" i="37"/>
  <c r="H228" i="37"/>
  <c r="H227" i="37"/>
  <c r="H226" i="37"/>
  <c r="H225" i="37"/>
  <c r="H224" i="37"/>
  <c r="H223" i="37"/>
  <c r="H222" i="37"/>
  <c r="H221" i="37"/>
  <c r="H220" i="37"/>
  <c r="H219" i="37"/>
  <c r="H218" i="37"/>
  <c r="H217" i="37"/>
  <c r="H216" i="37"/>
  <c r="H215" i="37"/>
  <c r="H214" i="37"/>
  <c r="H213" i="37"/>
  <c r="H212" i="37"/>
  <c r="H211" i="37"/>
  <c r="H210" i="37"/>
  <c r="H209" i="37"/>
  <c r="H208" i="37"/>
  <c r="H207" i="37"/>
  <c r="B207" i="37"/>
  <c r="H206" i="37"/>
  <c r="H205" i="37"/>
  <c r="H204" i="37"/>
  <c r="H203" i="37"/>
  <c r="H202" i="37"/>
  <c r="H201" i="37"/>
  <c r="H200" i="37"/>
  <c r="H199" i="37"/>
  <c r="H198" i="37"/>
  <c r="H197" i="37"/>
  <c r="H196" i="37"/>
  <c r="H195" i="37"/>
  <c r="H194" i="37"/>
  <c r="E194" i="37"/>
  <c r="H193" i="37"/>
  <c r="H192" i="37"/>
  <c r="H191" i="37"/>
  <c r="E191" i="37"/>
  <c r="H190" i="37"/>
  <c r="H189" i="37"/>
  <c r="H188" i="37"/>
  <c r="H187" i="37"/>
  <c r="H186" i="37"/>
  <c r="H185" i="37"/>
  <c r="H184" i="37"/>
  <c r="H183" i="37"/>
  <c r="H182" i="37"/>
  <c r="H181" i="37"/>
  <c r="H180" i="37"/>
  <c r="H179" i="37"/>
  <c r="H178" i="37"/>
  <c r="H177" i="37"/>
  <c r="H176" i="37"/>
  <c r="H175" i="37"/>
  <c r="H174" i="37"/>
  <c r="H173" i="37"/>
  <c r="H172" i="37"/>
  <c r="E172" i="37"/>
  <c r="H171" i="37"/>
  <c r="E171" i="37"/>
  <c r="H170" i="37"/>
  <c r="E170" i="37"/>
  <c r="H169" i="37"/>
  <c r="E169" i="37"/>
  <c r="H168" i="37"/>
  <c r="D168" i="37"/>
  <c r="D265" i="37" s="1"/>
  <c r="B168" i="37"/>
  <c r="H167" i="37"/>
  <c r="E167" i="37"/>
  <c r="H166" i="37"/>
  <c r="H165" i="37"/>
  <c r="E165" i="37"/>
  <c r="H164" i="37"/>
  <c r="H163" i="37"/>
  <c r="H162" i="37"/>
  <c r="H161" i="37"/>
  <c r="H160" i="37"/>
  <c r="E160" i="37"/>
  <c r="H159" i="37"/>
  <c r="H158" i="37"/>
  <c r="H157" i="37"/>
  <c r="H156" i="37"/>
  <c r="H155" i="37"/>
  <c r="H154" i="37"/>
  <c r="H153" i="37"/>
  <c r="H152" i="37"/>
  <c r="H151" i="37"/>
  <c r="H150" i="37"/>
  <c r="H149" i="37"/>
  <c r="H148" i="37"/>
  <c r="H147" i="37"/>
  <c r="H146" i="37"/>
  <c r="H145" i="37"/>
  <c r="H144" i="37"/>
  <c r="H143" i="37"/>
  <c r="H142" i="37"/>
  <c r="H141" i="37"/>
  <c r="H140" i="37"/>
  <c r="H139" i="37"/>
  <c r="H138" i="37"/>
  <c r="H137" i="37"/>
  <c r="H136" i="37"/>
  <c r="H135" i="37"/>
  <c r="H134" i="37"/>
  <c r="H133" i="37"/>
  <c r="H132" i="37"/>
  <c r="H131" i="37"/>
  <c r="H130" i="37"/>
  <c r="H129" i="37"/>
  <c r="H128" i="37"/>
  <c r="H127" i="37"/>
  <c r="H126" i="37"/>
  <c r="H125" i="37"/>
  <c r="H124" i="37"/>
  <c r="H123" i="37"/>
  <c r="H122" i="37"/>
  <c r="H121" i="37"/>
  <c r="H120" i="37"/>
  <c r="H119" i="37"/>
  <c r="H118" i="37"/>
  <c r="H117" i="37"/>
  <c r="H116" i="37"/>
  <c r="H115" i="37"/>
  <c r="H114" i="37"/>
  <c r="H113" i="37"/>
  <c r="H112" i="37"/>
  <c r="H111" i="37"/>
  <c r="E111" i="37"/>
  <c r="H110" i="37"/>
  <c r="H109" i="37"/>
  <c r="H108" i="37"/>
  <c r="H107" i="37"/>
  <c r="H106" i="37"/>
  <c r="H105" i="37"/>
  <c r="H104" i="37"/>
  <c r="H103" i="37"/>
  <c r="H102" i="37"/>
  <c r="H101" i="37"/>
  <c r="F97" i="37"/>
  <c r="E97" i="37"/>
  <c r="D97" i="37"/>
  <c r="C97" i="37"/>
  <c r="B97" i="37"/>
  <c r="H95" i="37"/>
  <c r="H94" i="37"/>
  <c r="H93" i="37"/>
  <c r="H92" i="37"/>
  <c r="H91" i="37"/>
  <c r="H90" i="37"/>
  <c r="H89" i="37"/>
  <c r="H88" i="37"/>
  <c r="H87" i="37"/>
  <c r="H86" i="37"/>
  <c r="H85" i="37"/>
  <c r="H84" i="37"/>
  <c r="H83" i="37"/>
  <c r="H82" i="37"/>
  <c r="H81" i="37"/>
  <c r="H80" i="37"/>
  <c r="H79" i="37"/>
  <c r="H78" i="37"/>
  <c r="H77" i="37"/>
  <c r="H76" i="37"/>
  <c r="H75" i="37"/>
  <c r="H74" i="37"/>
  <c r="H73" i="37"/>
  <c r="H72" i="37"/>
  <c r="H71" i="37"/>
  <c r="H70" i="37"/>
  <c r="H69" i="37"/>
  <c r="H68" i="37"/>
  <c r="H67" i="37"/>
  <c r="H66" i="37"/>
  <c r="H65" i="37"/>
  <c r="H64" i="37"/>
  <c r="H63" i="37"/>
  <c r="H62" i="37"/>
  <c r="H61" i="37"/>
  <c r="H60" i="37"/>
  <c r="H59" i="37"/>
  <c r="H58" i="37"/>
  <c r="H57" i="37"/>
  <c r="H56" i="37"/>
  <c r="H55" i="37"/>
  <c r="H54" i="37"/>
  <c r="H53" i="37"/>
  <c r="H52" i="37"/>
  <c r="H51" i="37"/>
  <c r="H50" i="37"/>
  <c r="H49" i="37"/>
  <c r="H48" i="37"/>
  <c r="H47" i="37"/>
  <c r="H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H33" i="37"/>
  <c r="H32" i="37"/>
  <c r="H31" i="37"/>
  <c r="H30" i="37"/>
  <c r="H29" i="37"/>
  <c r="H28" i="37"/>
  <c r="H27" i="37"/>
  <c r="H26" i="37"/>
  <c r="H25" i="37"/>
  <c r="H24" i="37"/>
  <c r="H23" i="37"/>
  <c r="H22" i="37"/>
  <c r="H21" i="37"/>
  <c r="H20" i="37"/>
  <c r="H19" i="37"/>
  <c r="H18" i="37"/>
  <c r="H17" i="37"/>
  <c r="H16" i="37"/>
  <c r="H15" i="37"/>
  <c r="H14" i="37"/>
  <c r="H13" i="37"/>
  <c r="H12" i="37"/>
  <c r="H11" i="37"/>
  <c r="H10" i="37"/>
  <c r="H9" i="37"/>
  <c r="H8" i="37"/>
  <c r="H7" i="37"/>
  <c r="H6" i="37"/>
  <c r="H5" i="37"/>
  <c r="F267" i="37" l="1"/>
  <c r="G267" i="37"/>
  <c r="E265" i="37"/>
  <c r="E267" i="37" s="1"/>
  <c r="C267" i="37"/>
  <c r="B267" i="37"/>
  <c r="D267" i="37"/>
  <c r="K14" i="19" l="1"/>
  <c r="H126" i="36" l="1"/>
  <c r="I126" i="36"/>
  <c r="H127" i="36"/>
  <c r="I127" i="36"/>
  <c r="H128" i="36"/>
  <c r="I128" i="36"/>
  <c r="H129" i="36"/>
  <c r="I129" i="36"/>
  <c r="H130" i="36"/>
  <c r="I130" i="36"/>
  <c r="H131" i="36"/>
  <c r="I131" i="36"/>
  <c r="H132" i="36"/>
  <c r="I132" i="36"/>
  <c r="H133" i="36"/>
  <c r="I133" i="36"/>
  <c r="H134" i="36"/>
  <c r="I134" i="36"/>
  <c r="H135" i="36"/>
  <c r="I135" i="36"/>
  <c r="H136" i="36"/>
  <c r="I136" i="36"/>
  <c r="H137" i="36"/>
  <c r="I137" i="36"/>
  <c r="H138" i="36"/>
  <c r="I138" i="36"/>
  <c r="H140" i="36"/>
  <c r="I140" i="36"/>
  <c r="H141" i="36"/>
  <c r="I141" i="36"/>
  <c r="H142" i="36"/>
  <c r="I142" i="36"/>
  <c r="H143" i="36"/>
  <c r="I143" i="36"/>
  <c r="H144" i="36"/>
  <c r="I144" i="36"/>
  <c r="H145" i="36"/>
  <c r="I145" i="36"/>
  <c r="H146" i="36"/>
  <c r="I146" i="36"/>
  <c r="H147" i="36"/>
  <c r="I147" i="36"/>
  <c r="H148" i="36"/>
  <c r="I148" i="36"/>
  <c r="H149" i="36"/>
  <c r="I149" i="36"/>
  <c r="H150" i="36"/>
  <c r="I150" i="36"/>
  <c r="H151" i="36"/>
  <c r="I151" i="36"/>
  <c r="H152" i="36"/>
  <c r="I152" i="36"/>
  <c r="H153" i="36"/>
  <c r="I153" i="36"/>
  <c r="H154" i="36"/>
  <c r="I154" i="36"/>
  <c r="H155" i="36"/>
  <c r="I155" i="36"/>
  <c r="H156" i="36"/>
  <c r="I156" i="36"/>
  <c r="H157" i="36"/>
  <c r="I157" i="36"/>
  <c r="H158" i="36"/>
  <c r="I158" i="36"/>
  <c r="H159" i="36"/>
  <c r="I159" i="36"/>
  <c r="H160" i="36"/>
  <c r="I160" i="36"/>
  <c r="H161" i="36"/>
  <c r="I161" i="36"/>
  <c r="H162" i="36"/>
  <c r="I162" i="36"/>
  <c r="H163" i="36"/>
  <c r="I163" i="36"/>
  <c r="H164" i="36"/>
  <c r="I164" i="36"/>
  <c r="H165" i="36"/>
  <c r="I165" i="36"/>
  <c r="H166" i="36"/>
  <c r="I166" i="36"/>
  <c r="H167" i="36"/>
  <c r="I167" i="36"/>
  <c r="H168" i="36"/>
  <c r="I168" i="36"/>
  <c r="H169" i="36"/>
  <c r="I169" i="36"/>
  <c r="H170" i="36"/>
  <c r="I170" i="36"/>
  <c r="H171" i="36"/>
  <c r="I171" i="36"/>
  <c r="H172" i="36"/>
  <c r="I172" i="36"/>
  <c r="H173" i="36"/>
  <c r="I173" i="36"/>
  <c r="H174" i="36"/>
  <c r="I174" i="36"/>
  <c r="H175" i="36"/>
  <c r="I175" i="36"/>
  <c r="H176" i="36"/>
  <c r="I176" i="36"/>
  <c r="H177" i="36"/>
  <c r="I177" i="36"/>
  <c r="H178" i="36"/>
  <c r="I178" i="36"/>
  <c r="H179" i="36"/>
  <c r="I179" i="36"/>
  <c r="H180" i="36"/>
  <c r="I180" i="36"/>
  <c r="H181" i="36"/>
  <c r="I181" i="36"/>
  <c r="H182" i="36"/>
  <c r="I182" i="36"/>
  <c r="H183" i="36"/>
  <c r="I183" i="36"/>
  <c r="H184" i="36"/>
  <c r="I184" i="36"/>
  <c r="H185" i="36"/>
  <c r="I185" i="36"/>
  <c r="H186" i="36"/>
  <c r="I186" i="36"/>
  <c r="H187" i="36"/>
  <c r="I187" i="36"/>
  <c r="H188" i="36"/>
  <c r="I188" i="36"/>
  <c r="H189" i="36"/>
  <c r="I189" i="36"/>
  <c r="H190" i="36"/>
  <c r="I190" i="36"/>
  <c r="H191" i="36"/>
  <c r="I191" i="36"/>
  <c r="H192" i="36"/>
  <c r="I192" i="36"/>
  <c r="H193" i="36"/>
  <c r="I193" i="36"/>
  <c r="H194" i="36"/>
  <c r="I194" i="36"/>
  <c r="H195" i="36"/>
  <c r="I195" i="36"/>
  <c r="H196" i="36"/>
  <c r="I196" i="36"/>
  <c r="H197" i="36"/>
  <c r="I197" i="36"/>
  <c r="H198" i="36"/>
  <c r="I198" i="36"/>
  <c r="H199" i="36"/>
  <c r="I199" i="36"/>
  <c r="H200" i="36"/>
  <c r="I200" i="36"/>
  <c r="H201" i="36"/>
  <c r="I201" i="36"/>
  <c r="H202" i="36"/>
  <c r="I202" i="36"/>
  <c r="H203" i="36"/>
  <c r="I203" i="36"/>
  <c r="H204" i="36"/>
  <c r="I204" i="36"/>
  <c r="H205" i="36"/>
  <c r="I205" i="36"/>
  <c r="H206" i="36"/>
  <c r="I206" i="36"/>
  <c r="H207" i="36"/>
  <c r="I207" i="36"/>
  <c r="H208" i="36"/>
  <c r="I208" i="36"/>
  <c r="H209" i="36"/>
  <c r="I209" i="36"/>
  <c r="H210" i="36"/>
  <c r="I210" i="36"/>
  <c r="H211" i="36"/>
  <c r="I211" i="36"/>
  <c r="H212" i="36"/>
  <c r="I212" i="36"/>
  <c r="H213" i="36"/>
  <c r="I213" i="36"/>
  <c r="H214" i="36"/>
  <c r="I214" i="36"/>
  <c r="H215" i="36"/>
  <c r="I215" i="36"/>
  <c r="H216" i="36"/>
  <c r="I216" i="36"/>
  <c r="H217" i="36"/>
  <c r="I217" i="36"/>
  <c r="H218" i="36"/>
  <c r="I218" i="36"/>
  <c r="H219" i="36"/>
  <c r="I219" i="36"/>
  <c r="H220" i="36"/>
  <c r="I220" i="36"/>
  <c r="H221" i="36"/>
  <c r="I221" i="36"/>
  <c r="H222" i="36"/>
  <c r="I222" i="36"/>
  <c r="H223" i="36"/>
  <c r="I223" i="36"/>
  <c r="H224" i="36"/>
  <c r="I224" i="36"/>
  <c r="H225" i="36"/>
  <c r="I225" i="36"/>
  <c r="H226" i="36"/>
  <c r="I226" i="36"/>
  <c r="H227" i="36"/>
  <c r="I227" i="36"/>
  <c r="H228" i="36"/>
  <c r="I228" i="36"/>
  <c r="H229" i="36"/>
  <c r="I229" i="36"/>
  <c r="H230" i="36"/>
  <c r="I230" i="36"/>
  <c r="H231" i="36"/>
  <c r="I231" i="36"/>
  <c r="H232" i="36"/>
  <c r="I232" i="36"/>
  <c r="H233" i="36"/>
  <c r="I233" i="36"/>
  <c r="H234" i="36"/>
  <c r="I234" i="36"/>
  <c r="H235" i="36"/>
  <c r="I235" i="36"/>
  <c r="H236" i="36"/>
  <c r="I236" i="36"/>
  <c r="H237" i="36"/>
  <c r="I237" i="36"/>
  <c r="H238" i="36"/>
  <c r="I238" i="36"/>
  <c r="H239" i="36"/>
  <c r="I239" i="36"/>
  <c r="H240" i="36"/>
  <c r="I240" i="36"/>
  <c r="H241" i="36"/>
  <c r="I241" i="36"/>
  <c r="H242" i="36"/>
  <c r="I242" i="36"/>
  <c r="H243" i="36"/>
  <c r="I243" i="36"/>
  <c r="H244" i="36"/>
  <c r="I244" i="36"/>
  <c r="H245" i="36"/>
  <c r="I245" i="36"/>
  <c r="H246" i="36"/>
  <c r="I246" i="36"/>
  <c r="H247" i="36"/>
  <c r="I247" i="36"/>
  <c r="H248" i="36"/>
  <c r="I248" i="36"/>
  <c r="H249" i="36"/>
  <c r="I249" i="36"/>
  <c r="H250" i="36"/>
  <c r="I250" i="36"/>
  <c r="H251" i="36"/>
  <c r="I251" i="36"/>
  <c r="H252" i="36"/>
  <c r="I252" i="36"/>
  <c r="H253" i="36"/>
  <c r="I253" i="36"/>
  <c r="H254" i="36"/>
  <c r="I254" i="36"/>
  <c r="H255" i="36"/>
  <c r="I255" i="36"/>
  <c r="H256" i="36"/>
  <c r="I256" i="36"/>
  <c r="H257" i="36"/>
  <c r="I257" i="36"/>
  <c r="H258" i="36"/>
  <c r="I258" i="36"/>
  <c r="H259" i="36"/>
  <c r="I259" i="36"/>
  <c r="H260" i="36"/>
  <c r="I260" i="36"/>
  <c r="H261" i="36"/>
  <c r="I261" i="36"/>
  <c r="H262" i="36"/>
  <c r="I262" i="36"/>
  <c r="H263" i="36"/>
  <c r="I263" i="36"/>
  <c r="H264" i="36"/>
  <c r="I264" i="36"/>
  <c r="H265" i="36"/>
  <c r="I265" i="36"/>
  <c r="H266" i="36"/>
  <c r="I266" i="36"/>
  <c r="H267" i="36"/>
  <c r="I267" i="36"/>
  <c r="H268" i="36"/>
  <c r="I268" i="36"/>
  <c r="H269" i="36"/>
  <c r="I269" i="36"/>
  <c r="H270" i="36"/>
  <c r="I270" i="36"/>
  <c r="H271" i="36"/>
  <c r="I271" i="36"/>
  <c r="H272" i="36"/>
  <c r="I272" i="36"/>
  <c r="H273" i="36"/>
  <c r="I273" i="36"/>
  <c r="H274" i="36"/>
  <c r="I274" i="36"/>
  <c r="H275" i="36"/>
  <c r="I275" i="36"/>
  <c r="H276" i="36"/>
  <c r="I276" i="36"/>
  <c r="H277" i="36"/>
  <c r="I277" i="36"/>
  <c r="H278" i="36"/>
  <c r="I278" i="36"/>
  <c r="H279" i="36"/>
  <c r="I279" i="36"/>
  <c r="H280" i="36"/>
  <c r="I280" i="36"/>
  <c r="H281" i="36"/>
  <c r="I281" i="36"/>
  <c r="H282" i="36"/>
  <c r="I282" i="36"/>
  <c r="H283" i="36"/>
  <c r="I283" i="36"/>
  <c r="H284" i="36"/>
  <c r="I284" i="36"/>
  <c r="H285" i="36"/>
  <c r="I285" i="36"/>
  <c r="H286" i="36"/>
  <c r="I286" i="36"/>
  <c r="H287" i="36"/>
  <c r="I287" i="36"/>
  <c r="H288" i="36"/>
  <c r="I288" i="36"/>
  <c r="I125" i="36"/>
  <c r="H125" i="36"/>
  <c r="H126" i="22"/>
  <c r="I126" i="22"/>
  <c r="H127" i="22"/>
  <c r="I127" i="22"/>
  <c r="H128" i="22"/>
  <c r="I128" i="22"/>
  <c r="H129" i="22"/>
  <c r="I129" i="22"/>
  <c r="H130" i="22"/>
  <c r="I130" i="22"/>
  <c r="H131" i="22"/>
  <c r="I131" i="22"/>
  <c r="H132" i="22"/>
  <c r="I132" i="22"/>
  <c r="H133" i="22"/>
  <c r="I133" i="22"/>
  <c r="H134" i="22"/>
  <c r="I134" i="22"/>
  <c r="H135" i="22"/>
  <c r="I135" i="22"/>
  <c r="H136" i="22"/>
  <c r="I136" i="22"/>
  <c r="H137" i="22"/>
  <c r="I137" i="22"/>
  <c r="H138" i="22"/>
  <c r="I138" i="22"/>
  <c r="H140" i="22"/>
  <c r="I140" i="22"/>
  <c r="H141" i="22"/>
  <c r="I141" i="22"/>
  <c r="H142" i="22"/>
  <c r="I142" i="22"/>
  <c r="H143" i="22"/>
  <c r="I143" i="22"/>
  <c r="H144" i="22"/>
  <c r="I144" i="22"/>
  <c r="H145" i="22"/>
  <c r="I145" i="22"/>
  <c r="H146" i="22"/>
  <c r="I146" i="22"/>
  <c r="H147" i="22"/>
  <c r="I147" i="22"/>
  <c r="H148" i="22"/>
  <c r="I148" i="22"/>
  <c r="H149" i="22"/>
  <c r="I149" i="22"/>
  <c r="H150" i="22"/>
  <c r="I150" i="22"/>
  <c r="H151" i="22"/>
  <c r="I151" i="22"/>
  <c r="H152" i="22"/>
  <c r="I152" i="22"/>
  <c r="H153" i="22"/>
  <c r="I153" i="22"/>
  <c r="H154" i="22"/>
  <c r="I154" i="22"/>
  <c r="H155" i="22"/>
  <c r="I155" i="22"/>
  <c r="H156" i="22"/>
  <c r="I156" i="22"/>
  <c r="H157" i="22"/>
  <c r="I157" i="22"/>
  <c r="H158" i="22"/>
  <c r="I158" i="22"/>
  <c r="H159" i="22"/>
  <c r="I159" i="22"/>
  <c r="H160" i="22"/>
  <c r="I160" i="22"/>
  <c r="H161" i="22"/>
  <c r="I161" i="22"/>
  <c r="H162" i="22"/>
  <c r="I162" i="22"/>
  <c r="H163" i="22"/>
  <c r="I163" i="22"/>
  <c r="H164" i="22"/>
  <c r="I164" i="22"/>
  <c r="H165" i="22"/>
  <c r="I165" i="22"/>
  <c r="H166" i="22"/>
  <c r="I166" i="22"/>
  <c r="H167" i="22"/>
  <c r="I167" i="22"/>
  <c r="H168" i="22"/>
  <c r="I168" i="22"/>
  <c r="H169" i="22"/>
  <c r="I169" i="22"/>
  <c r="H170" i="22"/>
  <c r="I170" i="22"/>
  <c r="H171" i="22"/>
  <c r="I171" i="22"/>
  <c r="H172" i="22"/>
  <c r="I172" i="22"/>
  <c r="H173" i="22"/>
  <c r="I173" i="22"/>
  <c r="H174" i="22"/>
  <c r="I174" i="22"/>
  <c r="H175" i="22"/>
  <c r="I175" i="22"/>
  <c r="H176" i="22"/>
  <c r="I176" i="22"/>
  <c r="H177" i="22"/>
  <c r="I177" i="22"/>
  <c r="H178" i="22"/>
  <c r="I178" i="22"/>
  <c r="H179" i="22"/>
  <c r="I179" i="22"/>
  <c r="H180" i="22"/>
  <c r="I180" i="22"/>
  <c r="H181" i="22"/>
  <c r="I181" i="22"/>
  <c r="H182" i="22"/>
  <c r="I182" i="22"/>
  <c r="H183" i="22"/>
  <c r="I183" i="22"/>
  <c r="H184" i="22"/>
  <c r="I184" i="22"/>
  <c r="H185" i="22"/>
  <c r="I185" i="22"/>
  <c r="H186" i="22"/>
  <c r="I186" i="22"/>
  <c r="H187" i="22"/>
  <c r="I187" i="22"/>
  <c r="H188" i="22"/>
  <c r="I188" i="22"/>
  <c r="H189" i="22"/>
  <c r="I189" i="22"/>
  <c r="H190" i="22"/>
  <c r="I190" i="22"/>
  <c r="H191" i="22"/>
  <c r="I191" i="22"/>
  <c r="H192" i="22"/>
  <c r="I192" i="22"/>
  <c r="H193" i="22"/>
  <c r="I193" i="22"/>
  <c r="H194" i="22"/>
  <c r="I194" i="22"/>
  <c r="H195" i="22"/>
  <c r="I195" i="22"/>
  <c r="H196" i="22"/>
  <c r="I196" i="22"/>
  <c r="H197" i="22"/>
  <c r="I197" i="22"/>
  <c r="H198" i="22"/>
  <c r="I198" i="22"/>
  <c r="H199" i="22"/>
  <c r="I199" i="22"/>
  <c r="H200" i="22"/>
  <c r="I200" i="22"/>
  <c r="H201" i="22"/>
  <c r="I201" i="22"/>
  <c r="H202" i="22"/>
  <c r="I202" i="22"/>
  <c r="H203" i="22"/>
  <c r="I203" i="22"/>
  <c r="H204" i="22"/>
  <c r="I204" i="22"/>
  <c r="H205" i="22"/>
  <c r="I205" i="22"/>
  <c r="H206" i="22"/>
  <c r="I206" i="22"/>
  <c r="H207" i="22"/>
  <c r="I207" i="22"/>
  <c r="H208" i="22"/>
  <c r="I208" i="22"/>
  <c r="H209" i="22"/>
  <c r="I209" i="22"/>
  <c r="H210" i="22"/>
  <c r="I210" i="22"/>
  <c r="H211" i="22"/>
  <c r="I211" i="22"/>
  <c r="H212" i="22"/>
  <c r="I212" i="22"/>
  <c r="H213" i="22"/>
  <c r="I213" i="22"/>
  <c r="H214" i="22"/>
  <c r="I214" i="22"/>
  <c r="H215" i="22"/>
  <c r="I215" i="22"/>
  <c r="H216" i="22"/>
  <c r="I216" i="22"/>
  <c r="H217" i="22"/>
  <c r="I217" i="22"/>
  <c r="H218" i="22"/>
  <c r="I218" i="22"/>
  <c r="H219" i="22"/>
  <c r="I219" i="22"/>
  <c r="H220" i="22"/>
  <c r="I220" i="22"/>
  <c r="H221" i="22"/>
  <c r="I221" i="22"/>
  <c r="H222" i="22"/>
  <c r="I222" i="22"/>
  <c r="H223" i="22"/>
  <c r="I223" i="22"/>
  <c r="H224" i="22"/>
  <c r="I224" i="22"/>
  <c r="H225" i="22"/>
  <c r="I225" i="22"/>
  <c r="H226" i="22"/>
  <c r="I226" i="22"/>
  <c r="H227" i="22"/>
  <c r="I227" i="22"/>
  <c r="H228" i="22"/>
  <c r="I228" i="22"/>
  <c r="H229" i="22"/>
  <c r="I229" i="22"/>
  <c r="H230" i="22"/>
  <c r="I230" i="22"/>
  <c r="H231" i="22"/>
  <c r="I231" i="22"/>
  <c r="H232" i="22"/>
  <c r="I232" i="22"/>
  <c r="H233" i="22"/>
  <c r="I233" i="22"/>
  <c r="H234" i="22"/>
  <c r="I234" i="22"/>
  <c r="H235" i="22"/>
  <c r="I235" i="22"/>
  <c r="H236" i="22"/>
  <c r="I236" i="22"/>
  <c r="H237" i="22"/>
  <c r="I237" i="22"/>
  <c r="H238" i="22"/>
  <c r="I238" i="22"/>
  <c r="H239" i="22"/>
  <c r="I239" i="22"/>
  <c r="H240" i="22"/>
  <c r="I240" i="22"/>
  <c r="H241" i="22"/>
  <c r="I241" i="22"/>
  <c r="H242" i="22"/>
  <c r="I242" i="22"/>
  <c r="H243" i="22"/>
  <c r="I243" i="22"/>
  <c r="H244" i="22"/>
  <c r="I244" i="22"/>
  <c r="H245" i="22"/>
  <c r="I245" i="22"/>
  <c r="H246" i="22"/>
  <c r="I246" i="22"/>
  <c r="H247" i="22"/>
  <c r="I247" i="22"/>
  <c r="H248" i="22"/>
  <c r="I248" i="22"/>
  <c r="H249" i="22"/>
  <c r="I249" i="22"/>
  <c r="H250" i="22"/>
  <c r="I250" i="22"/>
  <c r="H251" i="22"/>
  <c r="I251" i="22"/>
  <c r="H252" i="22"/>
  <c r="I252" i="22"/>
  <c r="H253" i="22"/>
  <c r="I253" i="22"/>
  <c r="H254" i="22"/>
  <c r="I254" i="22"/>
  <c r="H255" i="22"/>
  <c r="I255" i="22"/>
  <c r="H256" i="22"/>
  <c r="I256" i="22"/>
  <c r="H257" i="22"/>
  <c r="I257" i="22"/>
  <c r="H258" i="22"/>
  <c r="I258" i="22"/>
  <c r="H259" i="22"/>
  <c r="I259" i="22"/>
  <c r="H260" i="22"/>
  <c r="I260" i="22"/>
  <c r="H261" i="22"/>
  <c r="I261" i="22"/>
  <c r="H262" i="22"/>
  <c r="I262" i="22"/>
  <c r="H263" i="22"/>
  <c r="I263" i="22"/>
  <c r="H264" i="22"/>
  <c r="I264" i="22"/>
  <c r="H265" i="22"/>
  <c r="I265" i="22"/>
  <c r="H266" i="22"/>
  <c r="I266" i="22"/>
  <c r="H267" i="22"/>
  <c r="I267" i="22"/>
  <c r="H268" i="22"/>
  <c r="I268" i="22"/>
  <c r="H269" i="22"/>
  <c r="I269" i="22"/>
  <c r="H270" i="22"/>
  <c r="I270" i="22"/>
  <c r="H271" i="22"/>
  <c r="I271" i="22"/>
  <c r="H272" i="22"/>
  <c r="I272" i="22"/>
  <c r="H273" i="22"/>
  <c r="I273" i="22"/>
  <c r="H274" i="22"/>
  <c r="I274" i="22"/>
  <c r="H275" i="22"/>
  <c r="I275" i="22"/>
  <c r="H276" i="22"/>
  <c r="I276" i="22"/>
  <c r="H277" i="22"/>
  <c r="I277" i="22"/>
  <c r="H278" i="22"/>
  <c r="I278" i="22"/>
  <c r="H279" i="22"/>
  <c r="I279" i="22"/>
  <c r="H280" i="22"/>
  <c r="I280" i="22"/>
  <c r="H281" i="22"/>
  <c r="I281" i="22"/>
  <c r="H282" i="22"/>
  <c r="I282" i="22"/>
  <c r="H283" i="22"/>
  <c r="I283" i="22"/>
  <c r="H284" i="22"/>
  <c r="I284" i="22"/>
  <c r="H285" i="22"/>
  <c r="I285" i="22"/>
  <c r="H286" i="22"/>
  <c r="I286" i="22"/>
  <c r="H287" i="22"/>
  <c r="I287" i="22"/>
  <c r="H288" i="22"/>
  <c r="I288" i="22"/>
  <c r="I125" i="22"/>
  <c r="H125" i="22"/>
  <c r="H7" i="22"/>
  <c r="I7" i="22"/>
  <c r="H8" i="22"/>
  <c r="I8" i="22"/>
  <c r="H9" i="22"/>
  <c r="I9" i="22"/>
  <c r="H10" i="22"/>
  <c r="I10" i="22"/>
  <c r="H11" i="22"/>
  <c r="I11" i="22"/>
  <c r="H12" i="22"/>
  <c r="I12" i="22"/>
  <c r="H13" i="22"/>
  <c r="I13" i="22"/>
  <c r="H14" i="22"/>
  <c r="I14" i="22"/>
  <c r="H15" i="22"/>
  <c r="I15" i="22"/>
  <c r="H16" i="22"/>
  <c r="I16" i="22"/>
  <c r="H23" i="22"/>
  <c r="I23" i="22"/>
  <c r="H24" i="22"/>
  <c r="I24" i="22"/>
  <c r="H25" i="22"/>
  <c r="I25" i="22"/>
  <c r="H26" i="22"/>
  <c r="I26" i="22"/>
  <c r="H27" i="22"/>
  <c r="I27" i="22"/>
  <c r="H28" i="22"/>
  <c r="I28" i="22"/>
  <c r="H29" i="22"/>
  <c r="I29" i="22"/>
  <c r="H30" i="22"/>
  <c r="I30" i="22"/>
  <c r="H31" i="22"/>
  <c r="I31" i="22"/>
  <c r="H32" i="22"/>
  <c r="I32" i="22"/>
  <c r="H39" i="22"/>
  <c r="I39" i="22"/>
  <c r="H42" i="22"/>
  <c r="I42" i="22"/>
  <c r="H44" i="22"/>
  <c r="I44" i="22"/>
  <c r="H48" i="22"/>
  <c r="I48" i="22"/>
  <c r="H49" i="22"/>
  <c r="I49" i="22"/>
  <c r="H50" i="22"/>
  <c r="I50" i="22"/>
  <c r="H51" i="22"/>
  <c r="I51" i="22"/>
  <c r="H52" i="22"/>
  <c r="I52" i="22"/>
  <c r="H53" i="22"/>
  <c r="I53" i="22"/>
  <c r="H54" i="22"/>
  <c r="I54" i="22"/>
  <c r="H55" i="22"/>
  <c r="I55" i="22"/>
  <c r="H56" i="22"/>
  <c r="I56" i="22"/>
  <c r="H57" i="22"/>
  <c r="I57" i="22"/>
  <c r="H58" i="22"/>
  <c r="I58" i="22"/>
  <c r="H59" i="22"/>
  <c r="I59" i="22"/>
  <c r="H60" i="22"/>
  <c r="I60" i="22"/>
  <c r="H61" i="22"/>
  <c r="I61" i="22"/>
  <c r="H62" i="22"/>
  <c r="I62" i="22"/>
  <c r="H63" i="22"/>
  <c r="I63" i="22"/>
  <c r="H64" i="22"/>
  <c r="I64" i="22"/>
  <c r="H65" i="22"/>
  <c r="I65" i="22"/>
  <c r="H66" i="22"/>
  <c r="I66" i="22"/>
  <c r="H67" i="22"/>
  <c r="I67" i="22"/>
  <c r="H68" i="22"/>
  <c r="I68" i="22"/>
  <c r="H69" i="22"/>
  <c r="I69" i="22"/>
  <c r="H70" i="22"/>
  <c r="I70" i="22"/>
  <c r="H71" i="22"/>
  <c r="I71" i="22"/>
  <c r="H72" i="22"/>
  <c r="I72" i="22"/>
  <c r="H73" i="22"/>
  <c r="I73" i="22"/>
  <c r="H74" i="22"/>
  <c r="I74" i="22"/>
  <c r="H75" i="22"/>
  <c r="I75" i="22"/>
  <c r="H76" i="22"/>
  <c r="I76" i="22"/>
  <c r="H77" i="22"/>
  <c r="I77" i="22"/>
  <c r="H78" i="22"/>
  <c r="I78" i="22"/>
  <c r="H79" i="22"/>
  <c r="I79" i="22"/>
  <c r="H80" i="22"/>
  <c r="I80" i="22"/>
  <c r="H81" i="22"/>
  <c r="I81" i="22"/>
  <c r="H82" i="22"/>
  <c r="I82" i="22"/>
  <c r="H84" i="22"/>
  <c r="I84" i="22"/>
  <c r="H85" i="22"/>
  <c r="I85" i="22"/>
  <c r="H86" i="22"/>
  <c r="I86" i="22"/>
  <c r="H87" i="22"/>
  <c r="I87" i="22"/>
  <c r="H89" i="22"/>
  <c r="I89" i="22"/>
  <c r="H90" i="22"/>
  <c r="I90" i="22"/>
  <c r="H91" i="22"/>
  <c r="I91" i="22"/>
  <c r="H92" i="22"/>
  <c r="I92" i="22"/>
  <c r="H93" i="22"/>
  <c r="I93" i="22"/>
  <c r="H94" i="22"/>
  <c r="I94" i="22"/>
  <c r="H95" i="22"/>
  <c r="I95" i="22"/>
  <c r="H96" i="22"/>
  <c r="I96" i="22"/>
  <c r="H99" i="22"/>
  <c r="I99" i="22"/>
  <c r="H100" i="22"/>
  <c r="I100" i="22"/>
  <c r="H101" i="22"/>
  <c r="I101" i="22"/>
  <c r="H102" i="22"/>
  <c r="I102" i="22"/>
  <c r="H103" i="22"/>
  <c r="I103" i="22"/>
  <c r="H104" i="22"/>
  <c r="I104" i="22"/>
  <c r="H105" i="22"/>
  <c r="I105" i="22"/>
  <c r="H106" i="22"/>
  <c r="I106" i="22"/>
  <c r="H107" i="22"/>
  <c r="I107" i="22"/>
  <c r="H108" i="22"/>
  <c r="I108" i="22"/>
  <c r="H109" i="22"/>
  <c r="I109" i="22"/>
  <c r="H110" i="22"/>
  <c r="I110" i="22"/>
  <c r="H111" i="22"/>
  <c r="I111" i="22"/>
  <c r="H112" i="22"/>
  <c r="I112" i="22"/>
  <c r="H113" i="22"/>
  <c r="I113" i="22"/>
  <c r="H114" i="22"/>
  <c r="I114" i="22"/>
  <c r="H118" i="22"/>
  <c r="I118" i="22"/>
  <c r="H119" i="22"/>
  <c r="I119" i="22"/>
  <c r="H126" i="21"/>
  <c r="I126" i="21"/>
  <c r="H127" i="21"/>
  <c r="I127" i="21"/>
  <c r="H128" i="21"/>
  <c r="I128" i="21"/>
  <c r="H129" i="21"/>
  <c r="I129" i="21"/>
  <c r="H130" i="21"/>
  <c r="I130" i="21"/>
  <c r="H131" i="21"/>
  <c r="I131" i="21"/>
  <c r="H132" i="21"/>
  <c r="I132" i="21"/>
  <c r="H133" i="21"/>
  <c r="I133" i="21"/>
  <c r="H134" i="21"/>
  <c r="I134" i="21"/>
  <c r="H135" i="21"/>
  <c r="I135" i="21"/>
  <c r="H136" i="21"/>
  <c r="I136" i="21"/>
  <c r="H137" i="21"/>
  <c r="I137" i="21"/>
  <c r="H138" i="21"/>
  <c r="I138" i="21"/>
  <c r="H140" i="21"/>
  <c r="I140" i="21"/>
  <c r="H141" i="21"/>
  <c r="I141" i="21"/>
  <c r="H142" i="21"/>
  <c r="I142" i="21"/>
  <c r="H143" i="21"/>
  <c r="I143" i="21"/>
  <c r="H144" i="21"/>
  <c r="I144" i="21"/>
  <c r="H145" i="21"/>
  <c r="I145" i="21"/>
  <c r="H146" i="21"/>
  <c r="I146" i="21"/>
  <c r="H147" i="21"/>
  <c r="I147" i="21"/>
  <c r="H148" i="21"/>
  <c r="I148" i="21"/>
  <c r="H149" i="21"/>
  <c r="I149" i="21"/>
  <c r="H150" i="21"/>
  <c r="I150" i="21"/>
  <c r="H151" i="21"/>
  <c r="I151" i="21"/>
  <c r="H152" i="21"/>
  <c r="I152" i="21"/>
  <c r="H153" i="21"/>
  <c r="I153" i="21"/>
  <c r="H154" i="21"/>
  <c r="I154" i="21"/>
  <c r="H155" i="21"/>
  <c r="I155" i="21"/>
  <c r="H156" i="21"/>
  <c r="I156" i="21"/>
  <c r="H157" i="21"/>
  <c r="I157" i="21"/>
  <c r="H158" i="21"/>
  <c r="I158" i="21"/>
  <c r="H159" i="21"/>
  <c r="I159" i="21"/>
  <c r="H160" i="21"/>
  <c r="I160" i="21"/>
  <c r="H161" i="21"/>
  <c r="I161" i="21"/>
  <c r="H162" i="21"/>
  <c r="I162" i="21"/>
  <c r="H163" i="21"/>
  <c r="I163" i="21"/>
  <c r="H164" i="21"/>
  <c r="I164" i="21"/>
  <c r="H165" i="21"/>
  <c r="I165" i="21"/>
  <c r="H166" i="21"/>
  <c r="I166" i="21"/>
  <c r="H167" i="21"/>
  <c r="I167" i="21"/>
  <c r="H168" i="21"/>
  <c r="I168" i="21"/>
  <c r="H169" i="21"/>
  <c r="I169" i="21"/>
  <c r="H170" i="21"/>
  <c r="I170" i="21"/>
  <c r="H171" i="21"/>
  <c r="I171" i="21"/>
  <c r="H172" i="21"/>
  <c r="I172" i="21"/>
  <c r="H173" i="21"/>
  <c r="I173" i="21"/>
  <c r="H174" i="21"/>
  <c r="I174" i="21"/>
  <c r="H175" i="21"/>
  <c r="I175" i="21"/>
  <c r="H176" i="21"/>
  <c r="I176" i="21"/>
  <c r="H177" i="21"/>
  <c r="I177" i="21"/>
  <c r="H178" i="21"/>
  <c r="I178" i="21"/>
  <c r="H179" i="21"/>
  <c r="I179" i="21"/>
  <c r="H180" i="21"/>
  <c r="I180" i="21"/>
  <c r="H181" i="21"/>
  <c r="I181" i="21"/>
  <c r="H182" i="21"/>
  <c r="I182" i="21"/>
  <c r="H183" i="21"/>
  <c r="I183" i="21"/>
  <c r="H184" i="21"/>
  <c r="I184" i="21"/>
  <c r="H185" i="21"/>
  <c r="I185" i="21"/>
  <c r="H186" i="21"/>
  <c r="I186" i="21"/>
  <c r="H187" i="21"/>
  <c r="I187" i="21"/>
  <c r="H188" i="21"/>
  <c r="I188" i="21"/>
  <c r="H189" i="21"/>
  <c r="I189" i="21"/>
  <c r="H190" i="21"/>
  <c r="I190" i="21"/>
  <c r="H191" i="21"/>
  <c r="I191" i="21"/>
  <c r="H192" i="21"/>
  <c r="I192" i="21"/>
  <c r="H193" i="21"/>
  <c r="I193" i="21"/>
  <c r="H194" i="21"/>
  <c r="I194" i="21"/>
  <c r="H195" i="21"/>
  <c r="I195" i="21"/>
  <c r="H196" i="21"/>
  <c r="I196" i="21"/>
  <c r="H197" i="21"/>
  <c r="I197" i="21"/>
  <c r="H198" i="21"/>
  <c r="I198" i="21"/>
  <c r="H199" i="21"/>
  <c r="I199" i="21"/>
  <c r="H200" i="21"/>
  <c r="I200" i="21"/>
  <c r="H201" i="21"/>
  <c r="I201" i="21"/>
  <c r="H202" i="21"/>
  <c r="I202" i="21"/>
  <c r="H203" i="21"/>
  <c r="I203" i="21"/>
  <c r="H204" i="21"/>
  <c r="I204" i="21"/>
  <c r="H205" i="21"/>
  <c r="I205" i="21"/>
  <c r="H206" i="21"/>
  <c r="I206" i="21"/>
  <c r="H207" i="21"/>
  <c r="I207" i="21"/>
  <c r="H208" i="21"/>
  <c r="I208" i="21"/>
  <c r="H209" i="21"/>
  <c r="I209" i="21"/>
  <c r="H210" i="21"/>
  <c r="I210" i="21"/>
  <c r="H211" i="21"/>
  <c r="I211" i="21"/>
  <c r="H212" i="21"/>
  <c r="I212" i="21"/>
  <c r="H213" i="21"/>
  <c r="I213" i="21"/>
  <c r="H214" i="21"/>
  <c r="I214" i="21"/>
  <c r="H215" i="21"/>
  <c r="I215" i="21"/>
  <c r="H216" i="21"/>
  <c r="I216" i="21"/>
  <c r="H217" i="21"/>
  <c r="I217" i="21"/>
  <c r="H218" i="21"/>
  <c r="I218" i="21"/>
  <c r="H219" i="21"/>
  <c r="I219" i="21"/>
  <c r="H220" i="21"/>
  <c r="I220" i="21"/>
  <c r="H221" i="21"/>
  <c r="I221" i="21"/>
  <c r="H222" i="21"/>
  <c r="I222" i="21"/>
  <c r="H223" i="21"/>
  <c r="I223" i="21"/>
  <c r="H224" i="21"/>
  <c r="I224" i="21"/>
  <c r="H225" i="21"/>
  <c r="I225" i="21"/>
  <c r="H226" i="21"/>
  <c r="I226" i="21"/>
  <c r="H227" i="21"/>
  <c r="I227" i="21"/>
  <c r="H228" i="21"/>
  <c r="I228" i="21"/>
  <c r="H229" i="21"/>
  <c r="I229" i="21"/>
  <c r="H230" i="21"/>
  <c r="I230" i="21"/>
  <c r="H231" i="21"/>
  <c r="I231" i="21"/>
  <c r="H232" i="21"/>
  <c r="I232" i="21"/>
  <c r="H233" i="21"/>
  <c r="I233" i="21"/>
  <c r="H234" i="21"/>
  <c r="I234" i="21"/>
  <c r="H235" i="21"/>
  <c r="I235" i="21"/>
  <c r="H236" i="21"/>
  <c r="I236" i="21"/>
  <c r="H237" i="21"/>
  <c r="I237" i="21"/>
  <c r="H238" i="21"/>
  <c r="I238" i="21"/>
  <c r="H239" i="21"/>
  <c r="I239" i="21"/>
  <c r="H240" i="21"/>
  <c r="I240" i="21"/>
  <c r="H241" i="21"/>
  <c r="I241" i="21"/>
  <c r="H242" i="21"/>
  <c r="I242" i="21"/>
  <c r="H243" i="21"/>
  <c r="I243" i="21"/>
  <c r="H244" i="21"/>
  <c r="I244" i="21"/>
  <c r="H245" i="21"/>
  <c r="I245" i="21"/>
  <c r="H246" i="21"/>
  <c r="I246" i="21"/>
  <c r="H247" i="21"/>
  <c r="I247" i="21"/>
  <c r="H248" i="21"/>
  <c r="I248" i="21"/>
  <c r="H249" i="21"/>
  <c r="I249" i="21"/>
  <c r="H250" i="21"/>
  <c r="I250" i="21"/>
  <c r="H251" i="21"/>
  <c r="I251" i="21"/>
  <c r="H252" i="21"/>
  <c r="I252" i="21"/>
  <c r="H253" i="21"/>
  <c r="I253" i="21"/>
  <c r="H254" i="21"/>
  <c r="I254" i="21"/>
  <c r="H255" i="21"/>
  <c r="I255" i="21"/>
  <c r="H256" i="21"/>
  <c r="I256" i="21"/>
  <c r="H257" i="21"/>
  <c r="I257" i="21"/>
  <c r="H258" i="21"/>
  <c r="I258" i="21"/>
  <c r="H259" i="21"/>
  <c r="I259" i="21"/>
  <c r="H260" i="21"/>
  <c r="I260" i="21"/>
  <c r="H261" i="21"/>
  <c r="I261" i="21"/>
  <c r="H262" i="21"/>
  <c r="I262" i="21"/>
  <c r="H263" i="21"/>
  <c r="I263" i="21"/>
  <c r="H264" i="21"/>
  <c r="I264" i="21"/>
  <c r="H265" i="21"/>
  <c r="I265" i="21"/>
  <c r="H266" i="21"/>
  <c r="I266" i="21"/>
  <c r="H267" i="21"/>
  <c r="I267" i="21"/>
  <c r="H268" i="21"/>
  <c r="I268" i="21"/>
  <c r="H269" i="21"/>
  <c r="I269" i="21"/>
  <c r="H270" i="21"/>
  <c r="I270" i="21"/>
  <c r="H271" i="21"/>
  <c r="I271" i="21"/>
  <c r="H272" i="21"/>
  <c r="I272" i="21"/>
  <c r="H273" i="21"/>
  <c r="I273" i="21"/>
  <c r="H274" i="21"/>
  <c r="I274" i="21"/>
  <c r="H275" i="21"/>
  <c r="I275" i="21"/>
  <c r="H276" i="21"/>
  <c r="I276" i="21"/>
  <c r="H277" i="21"/>
  <c r="I277" i="21"/>
  <c r="H278" i="21"/>
  <c r="I278" i="21"/>
  <c r="H279" i="21"/>
  <c r="I279" i="21"/>
  <c r="H280" i="21"/>
  <c r="I280" i="21"/>
  <c r="H281" i="21"/>
  <c r="I281" i="21"/>
  <c r="H282" i="21"/>
  <c r="I282" i="21"/>
  <c r="H283" i="21"/>
  <c r="I283" i="21"/>
  <c r="H284" i="21"/>
  <c r="I284" i="21"/>
  <c r="H285" i="21"/>
  <c r="I285" i="21"/>
  <c r="H286" i="21"/>
  <c r="I286" i="21"/>
  <c r="H287" i="21"/>
  <c r="I287" i="21"/>
  <c r="H288" i="21"/>
  <c r="I288" i="21"/>
  <c r="I125" i="21"/>
  <c r="H125" i="21"/>
  <c r="H7" i="21"/>
  <c r="I7" i="21"/>
  <c r="H8" i="21"/>
  <c r="I8" i="21"/>
  <c r="H9" i="21"/>
  <c r="I9" i="21"/>
  <c r="H10" i="21"/>
  <c r="I10" i="21"/>
  <c r="H11" i="21"/>
  <c r="I11" i="21"/>
  <c r="H12" i="21"/>
  <c r="I12" i="21"/>
  <c r="H13" i="21"/>
  <c r="I13" i="21"/>
  <c r="H14" i="21"/>
  <c r="I14" i="21"/>
  <c r="H15" i="21"/>
  <c r="I15" i="21"/>
  <c r="H16" i="21"/>
  <c r="I16" i="21"/>
  <c r="H23" i="21"/>
  <c r="I23" i="21"/>
  <c r="H24" i="21"/>
  <c r="I24" i="21"/>
  <c r="H25" i="21"/>
  <c r="I25" i="21"/>
  <c r="H26" i="21"/>
  <c r="I26" i="21"/>
  <c r="H27" i="21"/>
  <c r="I27" i="21"/>
  <c r="H28" i="21"/>
  <c r="I28" i="21"/>
  <c r="H29" i="21"/>
  <c r="I29" i="21"/>
  <c r="H30" i="21"/>
  <c r="I30" i="21"/>
  <c r="H31" i="21"/>
  <c r="I31" i="21"/>
  <c r="H32" i="21"/>
  <c r="I32" i="21"/>
  <c r="H39" i="21"/>
  <c r="I39" i="21"/>
  <c r="H42" i="21"/>
  <c r="I42" i="21"/>
  <c r="H44" i="21"/>
  <c r="I44" i="21"/>
  <c r="H48" i="21"/>
  <c r="I48" i="21"/>
  <c r="H49" i="21"/>
  <c r="I49" i="21"/>
  <c r="H50" i="21"/>
  <c r="I50" i="21"/>
  <c r="H51" i="21"/>
  <c r="I51" i="21"/>
  <c r="H52" i="21"/>
  <c r="I52" i="21"/>
  <c r="H53" i="21"/>
  <c r="I53" i="21"/>
  <c r="H54" i="21"/>
  <c r="I54" i="21"/>
  <c r="H55" i="21"/>
  <c r="I55" i="21"/>
  <c r="H56" i="21"/>
  <c r="I56" i="21"/>
  <c r="H57" i="21"/>
  <c r="I57" i="21"/>
  <c r="H58" i="21"/>
  <c r="I58" i="21"/>
  <c r="H59" i="21"/>
  <c r="I59" i="21"/>
  <c r="H60" i="21"/>
  <c r="I60" i="21"/>
  <c r="H61" i="21"/>
  <c r="I61" i="21"/>
  <c r="H62" i="21"/>
  <c r="I62" i="21"/>
  <c r="H63" i="21"/>
  <c r="I63" i="21"/>
  <c r="H64" i="21"/>
  <c r="I64" i="21"/>
  <c r="H65" i="21"/>
  <c r="I65" i="21"/>
  <c r="H66" i="21"/>
  <c r="I66" i="21"/>
  <c r="H67" i="21"/>
  <c r="I67" i="21"/>
  <c r="H68" i="21"/>
  <c r="I68" i="21"/>
  <c r="H69" i="21"/>
  <c r="I69" i="21"/>
  <c r="H70" i="21"/>
  <c r="I70" i="21"/>
  <c r="H71" i="21"/>
  <c r="I71" i="21"/>
  <c r="H72" i="21"/>
  <c r="I72" i="21"/>
  <c r="H73" i="21"/>
  <c r="I73" i="21"/>
  <c r="H74" i="21"/>
  <c r="I74" i="21"/>
  <c r="H75" i="21"/>
  <c r="I75" i="21"/>
  <c r="H76" i="21"/>
  <c r="I76" i="21"/>
  <c r="H77" i="21"/>
  <c r="I77" i="21"/>
  <c r="H78" i="21"/>
  <c r="I78" i="21"/>
  <c r="H79" i="21"/>
  <c r="I79" i="21"/>
  <c r="H80" i="21"/>
  <c r="I80" i="21"/>
  <c r="H81" i="21"/>
  <c r="I81" i="21"/>
  <c r="H82" i="21"/>
  <c r="I82" i="21"/>
  <c r="H84" i="21"/>
  <c r="I84" i="21"/>
  <c r="H85" i="21"/>
  <c r="I85" i="21"/>
  <c r="H86" i="21"/>
  <c r="I86" i="21"/>
  <c r="H87" i="21"/>
  <c r="I87" i="21"/>
  <c r="H89" i="21"/>
  <c r="I89" i="21"/>
  <c r="H90" i="21"/>
  <c r="I90" i="21"/>
  <c r="H91" i="21"/>
  <c r="I91" i="21"/>
  <c r="H92" i="21"/>
  <c r="I92" i="21"/>
  <c r="H93" i="21"/>
  <c r="I93" i="21"/>
  <c r="H94" i="21"/>
  <c r="I94" i="21"/>
  <c r="H95" i="21"/>
  <c r="I95" i="21"/>
  <c r="H96" i="21"/>
  <c r="I96" i="21"/>
  <c r="H99" i="21"/>
  <c r="I99" i="21"/>
  <c r="H100" i="21"/>
  <c r="I100" i="21"/>
  <c r="H101" i="21"/>
  <c r="I101" i="21"/>
  <c r="H102" i="21"/>
  <c r="I102" i="21"/>
  <c r="H103" i="21"/>
  <c r="I103" i="21"/>
  <c r="H104" i="21"/>
  <c r="I104" i="21"/>
  <c r="H105" i="21"/>
  <c r="I105" i="21"/>
  <c r="H106" i="21"/>
  <c r="I106" i="21"/>
  <c r="H107" i="21"/>
  <c r="I107" i="21"/>
  <c r="H108" i="21"/>
  <c r="I108" i="21"/>
  <c r="H109" i="21"/>
  <c r="I109" i="21"/>
  <c r="H110" i="21"/>
  <c r="I110" i="21"/>
  <c r="H111" i="21"/>
  <c r="I111" i="21"/>
  <c r="H112" i="21"/>
  <c r="I112" i="21"/>
  <c r="H113" i="21"/>
  <c r="I113" i="21"/>
  <c r="H114" i="21"/>
  <c r="I114" i="21"/>
  <c r="H118" i="21"/>
  <c r="I118" i="21"/>
  <c r="H119" i="21"/>
  <c r="I119" i="21"/>
  <c r="H126" i="20"/>
  <c r="I126" i="20"/>
  <c r="H127" i="20"/>
  <c r="I127" i="20"/>
  <c r="H128" i="20"/>
  <c r="I128" i="20"/>
  <c r="H129" i="20"/>
  <c r="I129" i="20"/>
  <c r="H130" i="20"/>
  <c r="I130" i="20"/>
  <c r="H131" i="20"/>
  <c r="I131" i="20"/>
  <c r="H132" i="20"/>
  <c r="I132" i="20"/>
  <c r="H133" i="20"/>
  <c r="I133" i="20"/>
  <c r="H134" i="20"/>
  <c r="I134" i="20"/>
  <c r="H135" i="20"/>
  <c r="I135" i="20"/>
  <c r="H136" i="20"/>
  <c r="I136" i="20"/>
  <c r="H137" i="20"/>
  <c r="I137" i="20"/>
  <c r="H138" i="20"/>
  <c r="I138" i="20"/>
  <c r="H140" i="20"/>
  <c r="I140" i="20"/>
  <c r="H141" i="20"/>
  <c r="I141" i="20"/>
  <c r="H142" i="20"/>
  <c r="I142" i="20"/>
  <c r="H143" i="20"/>
  <c r="I143" i="20"/>
  <c r="H144" i="20"/>
  <c r="I144" i="20"/>
  <c r="H145" i="20"/>
  <c r="I145" i="20"/>
  <c r="H146" i="20"/>
  <c r="I146" i="20"/>
  <c r="H147" i="20"/>
  <c r="I147" i="20"/>
  <c r="H148" i="20"/>
  <c r="I148" i="20"/>
  <c r="H149" i="20"/>
  <c r="I149" i="20"/>
  <c r="H150" i="20"/>
  <c r="I150" i="20"/>
  <c r="H151" i="20"/>
  <c r="I151" i="20"/>
  <c r="H152" i="20"/>
  <c r="I152" i="20"/>
  <c r="H153" i="20"/>
  <c r="I153" i="20"/>
  <c r="H154" i="20"/>
  <c r="I154" i="20"/>
  <c r="H155" i="20"/>
  <c r="I155" i="20"/>
  <c r="H156" i="20"/>
  <c r="I156" i="20"/>
  <c r="H157" i="20"/>
  <c r="I157" i="20"/>
  <c r="H158" i="20"/>
  <c r="I158" i="20"/>
  <c r="H159" i="20"/>
  <c r="I159" i="20"/>
  <c r="H160" i="20"/>
  <c r="I160" i="20"/>
  <c r="H161" i="20"/>
  <c r="I161" i="20"/>
  <c r="H162" i="20"/>
  <c r="I162" i="20"/>
  <c r="H163" i="20"/>
  <c r="I163" i="20"/>
  <c r="H164" i="20"/>
  <c r="I164" i="20"/>
  <c r="H165" i="20"/>
  <c r="I165" i="20"/>
  <c r="H166" i="20"/>
  <c r="I166" i="20"/>
  <c r="H167" i="20"/>
  <c r="I167" i="20"/>
  <c r="H168" i="20"/>
  <c r="I168" i="20"/>
  <c r="H169" i="20"/>
  <c r="I169" i="20"/>
  <c r="H170" i="20"/>
  <c r="I170" i="20"/>
  <c r="H171" i="20"/>
  <c r="I171" i="20"/>
  <c r="H172" i="20"/>
  <c r="I172" i="20"/>
  <c r="H173" i="20"/>
  <c r="I173" i="20"/>
  <c r="H174" i="20"/>
  <c r="I174" i="20"/>
  <c r="H175" i="20"/>
  <c r="I175" i="20"/>
  <c r="H176" i="20"/>
  <c r="I176" i="20"/>
  <c r="H177" i="20"/>
  <c r="I177" i="20"/>
  <c r="H178" i="20"/>
  <c r="I178" i="20"/>
  <c r="H179" i="20"/>
  <c r="I179" i="20"/>
  <c r="H180" i="20"/>
  <c r="I180" i="20"/>
  <c r="H181" i="20"/>
  <c r="I181" i="20"/>
  <c r="H182" i="20"/>
  <c r="I182" i="20"/>
  <c r="H183" i="20"/>
  <c r="I183" i="20"/>
  <c r="H184" i="20"/>
  <c r="I184" i="20"/>
  <c r="H185" i="20"/>
  <c r="I185" i="20"/>
  <c r="H186" i="20"/>
  <c r="I186" i="20"/>
  <c r="H187" i="20"/>
  <c r="I187" i="20"/>
  <c r="H188" i="20"/>
  <c r="I188" i="20"/>
  <c r="H189" i="20"/>
  <c r="I189" i="20"/>
  <c r="H190" i="20"/>
  <c r="I190" i="20"/>
  <c r="H191" i="20"/>
  <c r="I191" i="20"/>
  <c r="H192" i="20"/>
  <c r="I192" i="20"/>
  <c r="H193" i="20"/>
  <c r="I193" i="20"/>
  <c r="H194" i="20"/>
  <c r="I194" i="20"/>
  <c r="H195" i="20"/>
  <c r="I195" i="20"/>
  <c r="H196" i="20"/>
  <c r="I196" i="20"/>
  <c r="H197" i="20"/>
  <c r="I197" i="20"/>
  <c r="H198" i="20"/>
  <c r="I198" i="20"/>
  <c r="H199" i="20"/>
  <c r="I199" i="20"/>
  <c r="H200" i="20"/>
  <c r="I200" i="20"/>
  <c r="H201" i="20"/>
  <c r="I201" i="20"/>
  <c r="H202" i="20"/>
  <c r="I202" i="20"/>
  <c r="H203" i="20"/>
  <c r="I203" i="20"/>
  <c r="H204" i="20"/>
  <c r="I204" i="20"/>
  <c r="H205" i="20"/>
  <c r="I205" i="20"/>
  <c r="H206" i="20"/>
  <c r="I206" i="20"/>
  <c r="H207" i="20"/>
  <c r="I207" i="20"/>
  <c r="H208" i="20"/>
  <c r="I208" i="20"/>
  <c r="H209" i="20"/>
  <c r="I209" i="20"/>
  <c r="H210" i="20"/>
  <c r="I210" i="20"/>
  <c r="H211" i="20"/>
  <c r="I211" i="20"/>
  <c r="H212" i="20"/>
  <c r="I212" i="20"/>
  <c r="H213" i="20"/>
  <c r="I213" i="20"/>
  <c r="H214" i="20"/>
  <c r="I214" i="20"/>
  <c r="H215" i="20"/>
  <c r="I215" i="20"/>
  <c r="H216" i="20"/>
  <c r="I216" i="20"/>
  <c r="H217" i="20"/>
  <c r="I217" i="20"/>
  <c r="H218" i="20"/>
  <c r="I218" i="20"/>
  <c r="H219" i="20"/>
  <c r="I219" i="20"/>
  <c r="H220" i="20"/>
  <c r="I220" i="20"/>
  <c r="H221" i="20"/>
  <c r="I221" i="20"/>
  <c r="H222" i="20"/>
  <c r="I222" i="20"/>
  <c r="H223" i="20"/>
  <c r="I223" i="20"/>
  <c r="H224" i="20"/>
  <c r="I224" i="20"/>
  <c r="H225" i="20"/>
  <c r="I225" i="20"/>
  <c r="H226" i="20"/>
  <c r="I226" i="20"/>
  <c r="H227" i="20"/>
  <c r="I227" i="20"/>
  <c r="H228" i="20"/>
  <c r="I228" i="20"/>
  <c r="H229" i="20"/>
  <c r="I229" i="20"/>
  <c r="H230" i="20"/>
  <c r="I230" i="20"/>
  <c r="H231" i="20"/>
  <c r="I231" i="20"/>
  <c r="H232" i="20"/>
  <c r="I232" i="20"/>
  <c r="H233" i="20"/>
  <c r="I233" i="20"/>
  <c r="H234" i="20"/>
  <c r="I234" i="20"/>
  <c r="H235" i="20"/>
  <c r="I235" i="20"/>
  <c r="H236" i="20"/>
  <c r="I236" i="20"/>
  <c r="H237" i="20"/>
  <c r="I237" i="20"/>
  <c r="H238" i="20"/>
  <c r="I238" i="20"/>
  <c r="H239" i="20"/>
  <c r="I239" i="20"/>
  <c r="H240" i="20"/>
  <c r="I240" i="20"/>
  <c r="H241" i="20"/>
  <c r="I241" i="20"/>
  <c r="H242" i="20"/>
  <c r="I242" i="20"/>
  <c r="H243" i="20"/>
  <c r="I243" i="20"/>
  <c r="H244" i="20"/>
  <c r="I244" i="20"/>
  <c r="H245" i="20"/>
  <c r="I245" i="20"/>
  <c r="H246" i="20"/>
  <c r="I246" i="20"/>
  <c r="H247" i="20"/>
  <c r="I247" i="20"/>
  <c r="H248" i="20"/>
  <c r="I248" i="20"/>
  <c r="H249" i="20"/>
  <c r="I249" i="20"/>
  <c r="H250" i="20"/>
  <c r="I250" i="20"/>
  <c r="H251" i="20"/>
  <c r="I251" i="20"/>
  <c r="H252" i="20"/>
  <c r="I252" i="20"/>
  <c r="H253" i="20"/>
  <c r="I253" i="20"/>
  <c r="H254" i="20"/>
  <c r="I254" i="20"/>
  <c r="H255" i="20"/>
  <c r="I255" i="20"/>
  <c r="H256" i="20"/>
  <c r="I256" i="20"/>
  <c r="H257" i="20"/>
  <c r="I257" i="20"/>
  <c r="H258" i="20"/>
  <c r="I258" i="20"/>
  <c r="H259" i="20"/>
  <c r="I259" i="20"/>
  <c r="H260" i="20"/>
  <c r="I260" i="20"/>
  <c r="H261" i="20"/>
  <c r="I261" i="20"/>
  <c r="H262" i="20"/>
  <c r="I262" i="20"/>
  <c r="H263" i="20"/>
  <c r="I263" i="20"/>
  <c r="H264" i="20"/>
  <c r="I264" i="20"/>
  <c r="H265" i="20"/>
  <c r="I265" i="20"/>
  <c r="H266" i="20"/>
  <c r="I266" i="20"/>
  <c r="H267" i="20"/>
  <c r="I267" i="20"/>
  <c r="H268" i="20"/>
  <c r="I268" i="20"/>
  <c r="H269" i="20"/>
  <c r="I269" i="20"/>
  <c r="H270" i="20"/>
  <c r="I270" i="20"/>
  <c r="H271" i="20"/>
  <c r="I271" i="20"/>
  <c r="H272" i="20"/>
  <c r="I272" i="20"/>
  <c r="H273" i="20"/>
  <c r="I273" i="20"/>
  <c r="H274" i="20"/>
  <c r="I274" i="20"/>
  <c r="H275" i="20"/>
  <c r="I275" i="20"/>
  <c r="H276" i="20"/>
  <c r="I276" i="20"/>
  <c r="H277" i="20"/>
  <c r="I277" i="20"/>
  <c r="H278" i="20"/>
  <c r="I278" i="20"/>
  <c r="H279" i="20"/>
  <c r="I279" i="20"/>
  <c r="H280" i="20"/>
  <c r="I280" i="20"/>
  <c r="H281" i="20"/>
  <c r="I281" i="20"/>
  <c r="H282" i="20"/>
  <c r="I282" i="20"/>
  <c r="H283" i="20"/>
  <c r="I283" i="20"/>
  <c r="H284" i="20"/>
  <c r="I284" i="20"/>
  <c r="H285" i="20"/>
  <c r="I285" i="20"/>
  <c r="H286" i="20"/>
  <c r="I286" i="20"/>
  <c r="H287" i="20"/>
  <c r="I287" i="20"/>
  <c r="H288" i="20"/>
  <c r="I288" i="20"/>
  <c r="I125" i="20"/>
  <c r="H125" i="20"/>
  <c r="H7" i="20"/>
  <c r="I7" i="20"/>
  <c r="H8" i="20"/>
  <c r="I8" i="20"/>
  <c r="H9" i="20"/>
  <c r="I9" i="20"/>
  <c r="H10" i="20"/>
  <c r="I10" i="20"/>
  <c r="H11" i="20"/>
  <c r="I11" i="20"/>
  <c r="H12" i="20"/>
  <c r="I12" i="20"/>
  <c r="H13" i="20"/>
  <c r="I13" i="20"/>
  <c r="H14" i="20"/>
  <c r="I14" i="20"/>
  <c r="H15" i="20"/>
  <c r="I15" i="20"/>
  <c r="H16" i="20"/>
  <c r="I16" i="20"/>
  <c r="H23" i="20"/>
  <c r="I23" i="20"/>
  <c r="H24" i="20"/>
  <c r="I24" i="20"/>
  <c r="H25" i="20"/>
  <c r="I25" i="20"/>
  <c r="H26" i="20"/>
  <c r="I26" i="20"/>
  <c r="H27" i="20"/>
  <c r="I27" i="20"/>
  <c r="H28" i="20"/>
  <c r="I28" i="20"/>
  <c r="H29" i="20"/>
  <c r="I29" i="20"/>
  <c r="H30" i="20"/>
  <c r="I30" i="20"/>
  <c r="H31" i="20"/>
  <c r="I31" i="20"/>
  <c r="H32" i="20"/>
  <c r="I32" i="20"/>
  <c r="H39" i="20"/>
  <c r="I39" i="20"/>
  <c r="H42" i="20"/>
  <c r="I42" i="20"/>
  <c r="H44" i="20"/>
  <c r="I44" i="20"/>
  <c r="H48" i="20"/>
  <c r="I48" i="20"/>
  <c r="H49" i="20"/>
  <c r="I49" i="20"/>
  <c r="H50" i="20"/>
  <c r="I50" i="20"/>
  <c r="H51" i="20"/>
  <c r="I51" i="20"/>
  <c r="H52" i="20"/>
  <c r="I52" i="20"/>
  <c r="H53" i="20"/>
  <c r="I53" i="20"/>
  <c r="H54" i="20"/>
  <c r="I54" i="20"/>
  <c r="H55" i="20"/>
  <c r="I55" i="20"/>
  <c r="H56" i="20"/>
  <c r="I56" i="20"/>
  <c r="H57" i="20"/>
  <c r="I57" i="20"/>
  <c r="H58" i="20"/>
  <c r="I58" i="20"/>
  <c r="H59" i="20"/>
  <c r="I59" i="20"/>
  <c r="H60" i="20"/>
  <c r="I60" i="20"/>
  <c r="H61" i="20"/>
  <c r="I61" i="20"/>
  <c r="H62" i="20"/>
  <c r="I62" i="20"/>
  <c r="H63" i="20"/>
  <c r="I63" i="20"/>
  <c r="H64" i="20"/>
  <c r="I64" i="20"/>
  <c r="H65" i="20"/>
  <c r="I65" i="20"/>
  <c r="H66" i="20"/>
  <c r="I66" i="20"/>
  <c r="H67" i="20"/>
  <c r="I67" i="20"/>
  <c r="H68" i="20"/>
  <c r="I68" i="20"/>
  <c r="H69" i="20"/>
  <c r="I69" i="20"/>
  <c r="H70" i="20"/>
  <c r="I70" i="20"/>
  <c r="H71" i="20"/>
  <c r="I71" i="20"/>
  <c r="H72" i="20"/>
  <c r="I72" i="20"/>
  <c r="H73" i="20"/>
  <c r="I73" i="20"/>
  <c r="H74" i="20"/>
  <c r="I74" i="20"/>
  <c r="H75" i="20"/>
  <c r="I75" i="20"/>
  <c r="H76" i="20"/>
  <c r="I76" i="20"/>
  <c r="H77" i="20"/>
  <c r="I77" i="20"/>
  <c r="H78" i="20"/>
  <c r="I78" i="20"/>
  <c r="H79" i="20"/>
  <c r="I79" i="20"/>
  <c r="H80" i="20"/>
  <c r="I80" i="20"/>
  <c r="H81" i="20"/>
  <c r="I81" i="20"/>
  <c r="H82" i="20"/>
  <c r="I82" i="20"/>
  <c r="H84" i="20"/>
  <c r="I84" i="20"/>
  <c r="H85" i="20"/>
  <c r="I85" i="20"/>
  <c r="H86" i="20"/>
  <c r="I86" i="20"/>
  <c r="H87" i="20"/>
  <c r="I87" i="20"/>
  <c r="H89" i="20"/>
  <c r="I89" i="20"/>
  <c r="H90" i="20"/>
  <c r="I90" i="20"/>
  <c r="H91" i="20"/>
  <c r="I91" i="20"/>
  <c r="H92" i="20"/>
  <c r="I92" i="20"/>
  <c r="H93" i="20"/>
  <c r="I93" i="20"/>
  <c r="H94" i="20"/>
  <c r="I94" i="20"/>
  <c r="H95" i="20"/>
  <c r="I95" i="20"/>
  <c r="H96" i="20"/>
  <c r="I96" i="20"/>
  <c r="H99" i="20"/>
  <c r="I99" i="20"/>
  <c r="H100" i="20"/>
  <c r="I100" i="20"/>
  <c r="H101" i="20"/>
  <c r="I101" i="20"/>
  <c r="H102" i="20"/>
  <c r="I102" i="20"/>
  <c r="H103" i="20"/>
  <c r="I103" i="20"/>
  <c r="H104" i="20"/>
  <c r="I104" i="20"/>
  <c r="H105" i="20"/>
  <c r="I105" i="20"/>
  <c r="H106" i="20"/>
  <c r="I106" i="20"/>
  <c r="H107" i="20"/>
  <c r="I107" i="20"/>
  <c r="H108" i="20"/>
  <c r="I108" i="20"/>
  <c r="H109" i="20"/>
  <c r="I109" i="20"/>
  <c r="H110" i="20"/>
  <c r="I110" i="20"/>
  <c r="H111" i="20"/>
  <c r="I111" i="20"/>
  <c r="H112" i="20"/>
  <c r="I112" i="20"/>
  <c r="H113" i="20"/>
  <c r="I113" i="20"/>
  <c r="H114" i="20"/>
  <c r="I114" i="20"/>
  <c r="H118" i="20"/>
  <c r="I118" i="20"/>
  <c r="H119" i="20"/>
  <c r="I119" i="20"/>
  <c r="H126" i="19"/>
  <c r="I126" i="19"/>
  <c r="H127" i="19"/>
  <c r="I127" i="19"/>
  <c r="H128" i="19"/>
  <c r="I128" i="19"/>
  <c r="H129" i="19"/>
  <c r="I129" i="19"/>
  <c r="H130" i="19"/>
  <c r="I130" i="19"/>
  <c r="H131" i="19"/>
  <c r="I131" i="19"/>
  <c r="H132" i="19"/>
  <c r="I132" i="19"/>
  <c r="H133" i="19"/>
  <c r="I133" i="19"/>
  <c r="H134" i="19"/>
  <c r="I134" i="19"/>
  <c r="H135" i="19"/>
  <c r="I135" i="19"/>
  <c r="H136" i="19"/>
  <c r="I136" i="19"/>
  <c r="H137" i="19"/>
  <c r="I137" i="19"/>
  <c r="H138" i="19"/>
  <c r="I138" i="19"/>
  <c r="H140" i="19"/>
  <c r="I140" i="19"/>
  <c r="H141" i="19"/>
  <c r="I141" i="19"/>
  <c r="H142" i="19"/>
  <c r="I142" i="19"/>
  <c r="H143" i="19"/>
  <c r="I143" i="19"/>
  <c r="H144" i="19"/>
  <c r="I144" i="19"/>
  <c r="H145" i="19"/>
  <c r="I145" i="19"/>
  <c r="H146" i="19"/>
  <c r="I146" i="19"/>
  <c r="H147" i="19"/>
  <c r="I147" i="19"/>
  <c r="H148" i="19"/>
  <c r="I148" i="19"/>
  <c r="H149" i="19"/>
  <c r="I149" i="19"/>
  <c r="H150" i="19"/>
  <c r="I150" i="19"/>
  <c r="H151" i="19"/>
  <c r="I151" i="19"/>
  <c r="H152" i="19"/>
  <c r="I152" i="19"/>
  <c r="H153" i="19"/>
  <c r="I153" i="19"/>
  <c r="H154" i="19"/>
  <c r="I154" i="19"/>
  <c r="H155" i="19"/>
  <c r="I155" i="19"/>
  <c r="H156" i="19"/>
  <c r="I156" i="19"/>
  <c r="H157" i="19"/>
  <c r="I157" i="19"/>
  <c r="H158" i="19"/>
  <c r="I158" i="19"/>
  <c r="H159" i="19"/>
  <c r="I159" i="19"/>
  <c r="H160" i="19"/>
  <c r="I160" i="19"/>
  <c r="H161" i="19"/>
  <c r="I161" i="19"/>
  <c r="H162" i="19"/>
  <c r="I162" i="19"/>
  <c r="H163" i="19"/>
  <c r="I163" i="19"/>
  <c r="H164" i="19"/>
  <c r="I164" i="19"/>
  <c r="H165" i="19"/>
  <c r="I165" i="19"/>
  <c r="H166" i="19"/>
  <c r="I166" i="19"/>
  <c r="H167" i="19"/>
  <c r="I167" i="19"/>
  <c r="H168" i="19"/>
  <c r="I168" i="19"/>
  <c r="H169" i="19"/>
  <c r="I169" i="19"/>
  <c r="H170" i="19"/>
  <c r="I170" i="19"/>
  <c r="H171" i="19"/>
  <c r="I171" i="19"/>
  <c r="H172" i="19"/>
  <c r="I172" i="19"/>
  <c r="H173" i="19"/>
  <c r="I173" i="19"/>
  <c r="H174" i="19"/>
  <c r="I174" i="19"/>
  <c r="H175" i="19"/>
  <c r="I175" i="19"/>
  <c r="H176" i="19"/>
  <c r="I176" i="19"/>
  <c r="H177" i="19"/>
  <c r="I177" i="19"/>
  <c r="H178" i="19"/>
  <c r="I178" i="19"/>
  <c r="H179" i="19"/>
  <c r="I179" i="19"/>
  <c r="H180" i="19"/>
  <c r="I180" i="19"/>
  <c r="H181" i="19"/>
  <c r="I181" i="19"/>
  <c r="H182" i="19"/>
  <c r="I182" i="19"/>
  <c r="H183" i="19"/>
  <c r="I183" i="19"/>
  <c r="H184" i="19"/>
  <c r="I184" i="19"/>
  <c r="H185" i="19"/>
  <c r="I185" i="19"/>
  <c r="H186" i="19"/>
  <c r="I186" i="19"/>
  <c r="H187" i="19"/>
  <c r="I187" i="19"/>
  <c r="H188" i="19"/>
  <c r="I188" i="19"/>
  <c r="H189" i="19"/>
  <c r="I189" i="19"/>
  <c r="H190" i="19"/>
  <c r="I190" i="19"/>
  <c r="H191" i="19"/>
  <c r="I191" i="19"/>
  <c r="H192" i="19"/>
  <c r="I192" i="19"/>
  <c r="H193" i="19"/>
  <c r="I193" i="19"/>
  <c r="H194" i="19"/>
  <c r="I194" i="19"/>
  <c r="H195" i="19"/>
  <c r="I195" i="19"/>
  <c r="H196" i="19"/>
  <c r="I196" i="19"/>
  <c r="H197" i="19"/>
  <c r="I197" i="19"/>
  <c r="H198" i="19"/>
  <c r="I198" i="19"/>
  <c r="H199" i="19"/>
  <c r="I199" i="19"/>
  <c r="H200" i="19"/>
  <c r="I200" i="19"/>
  <c r="H201" i="19"/>
  <c r="I201" i="19"/>
  <c r="H202" i="19"/>
  <c r="I202" i="19"/>
  <c r="H203" i="19"/>
  <c r="I203" i="19"/>
  <c r="H204" i="19"/>
  <c r="I204" i="19"/>
  <c r="H205" i="19"/>
  <c r="I205" i="19"/>
  <c r="H206" i="19"/>
  <c r="I206" i="19"/>
  <c r="H207" i="19"/>
  <c r="I207" i="19"/>
  <c r="H208" i="19"/>
  <c r="I208" i="19"/>
  <c r="H209" i="19"/>
  <c r="I209" i="19"/>
  <c r="H210" i="19"/>
  <c r="I210" i="19"/>
  <c r="H211" i="19"/>
  <c r="I211" i="19"/>
  <c r="H212" i="19"/>
  <c r="I212" i="19"/>
  <c r="H213" i="19"/>
  <c r="I213" i="19"/>
  <c r="H214" i="19"/>
  <c r="I214" i="19"/>
  <c r="H215" i="19"/>
  <c r="I215" i="19"/>
  <c r="H216" i="19"/>
  <c r="I216" i="19"/>
  <c r="H217" i="19"/>
  <c r="I217" i="19"/>
  <c r="H218" i="19"/>
  <c r="I218" i="19"/>
  <c r="H219" i="19"/>
  <c r="I219" i="19"/>
  <c r="H220" i="19"/>
  <c r="I220" i="19"/>
  <c r="H221" i="19"/>
  <c r="I221" i="19"/>
  <c r="H222" i="19"/>
  <c r="I222" i="19"/>
  <c r="H223" i="19"/>
  <c r="I223" i="19"/>
  <c r="H224" i="19"/>
  <c r="I224" i="19"/>
  <c r="H225" i="19"/>
  <c r="I225" i="19"/>
  <c r="H226" i="19"/>
  <c r="I226" i="19"/>
  <c r="H227" i="19"/>
  <c r="I227" i="19"/>
  <c r="H228" i="19"/>
  <c r="I228" i="19"/>
  <c r="H229" i="19"/>
  <c r="I229" i="19"/>
  <c r="H230" i="19"/>
  <c r="I230" i="19"/>
  <c r="H231" i="19"/>
  <c r="I231" i="19"/>
  <c r="H232" i="19"/>
  <c r="I232" i="19"/>
  <c r="H233" i="19"/>
  <c r="I233" i="19"/>
  <c r="H234" i="19"/>
  <c r="I234" i="19"/>
  <c r="H235" i="19"/>
  <c r="I235" i="19"/>
  <c r="H236" i="19"/>
  <c r="I236" i="19"/>
  <c r="H237" i="19"/>
  <c r="I237" i="19"/>
  <c r="H238" i="19"/>
  <c r="I238" i="19"/>
  <c r="H239" i="19"/>
  <c r="I239" i="19"/>
  <c r="H240" i="19"/>
  <c r="I240" i="19"/>
  <c r="H241" i="19"/>
  <c r="I241" i="19"/>
  <c r="H242" i="19"/>
  <c r="I242" i="19"/>
  <c r="H243" i="19"/>
  <c r="I243" i="19"/>
  <c r="H244" i="19"/>
  <c r="I244" i="19"/>
  <c r="H245" i="19"/>
  <c r="I245" i="19"/>
  <c r="H246" i="19"/>
  <c r="I246" i="19"/>
  <c r="H247" i="19"/>
  <c r="I247" i="19"/>
  <c r="H248" i="19"/>
  <c r="I248" i="19"/>
  <c r="H249" i="19"/>
  <c r="I249" i="19"/>
  <c r="H250" i="19"/>
  <c r="I250" i="19"/>
  <c r="H251" i="19"/>
  <c r="I251" i="19"/>
  <c r="H252" i="19"/>
  <c r="I252" i="19"/>
  <c r="H253" i="19"/>
  <c r="I253" i="19"/>
  <c r="H254" i="19"/>
  <c r="I254" i="19"/>
  <c r="H255" i="19"/>
  <c r="I255" i="19"/>
  <c r="H256" i="19"/>
  <c r="I256" i="19"/>
  <c r="H257" i="19"/>
  <c r="I257" i="19"/>
  <c r="H258" i="19"/>
  <c r="I258" i="19"/>
  <c r="H259" i="19"/>
  <c r="I259" i="19"/>
  <c r="H260" i="19"/>
  <c r="I260" i="19"/>
  <c r="H261" i="19"/>
  <c r="I261" i="19"/>
  <c r="H262" i="19"/>
  <c r="I262" i="19"/>
  <c r="H263" i="19"/>
  <c r="I263" i="19"/>
  <c r="H264" i="19"/>
  <c r="I264" i="19"/>
  <c r="H265" i="19"/>
  <c r="I265" i="19"/>
  <c r="H266" i="19"/>
  <c r="I266" i="19"/>
  <c r="H267" i="19"/>
  <c r="I267" i="19"/>
  <c r="H268" i="19"/>
  <c r="I268" i="19"/>
  <c r="H269" i="19"/>
  <c r="I269" i="19"/>
  <c r="H270" i="19"/>
  <c r="I270" i="19"/>
  <c r="H271" i="19"/>
  <c r="I271" i="19"/>
  <c r="H272" i="19"/>
  <c r="I272" i="19"/>
  <c r="H273" i="19"/>
  <c r="I273" i="19"/>
  <c r="H274" i="19"/>
  <c r="I274" i="19"/>
  <c r="H275" i="19"/>
  <c r="I275" i="19"/>
  <c r="H276" i="19"/>
  <c r="I276" i="19"/>
  <c r="H277" i="19"/>
  <c r="I277" i="19"/>
  <c r="H278" i="19"/>
  <c r="I278" i="19"/>
  <c r="H279" i="19"/>
  <c r="I279" i="19"/>
  <c r="H280" i="19"/>
  <c r="I280" i="19"/>
  <c r="H281" i="19"/>
  <c r="I281" i="19"/>
  <c r="H282" i="19"/>
  <c r="I282" i="19"/>
  <c r="H283" i="19"/>
  <c r="I283" i="19"/>
  <c r="H284" i="19"/>
  <c r="I284" i="19"/>
  <c r="H285" i="19"/>
  <c r="I285" i="19"/>
  <c r="H286" i="19"/>
  <c r="I286" i="19"/>
  <c r="H287" i="19"/>
  <c r="I287" i="19"/>
  <c r="H288" i="19"/>
  <c r="I288" i="19"/>
  <c r="I125" i="19"/>
  <c r="H125" i="19"/>
  <c r="H7" i="19"/>
  <c r="I7" i="19"/>
  <c r="H8" i="19"/>
  <c r="I8" i="19"/>
  <c r="H9" i="19"/>
  <c r="I9" i="19"/>
  <c r="H10" i="19"/>
  <c r="I10" i="19"/>
  <c r="H11" i="19"/>
  <c r="I11" i="19"/>
  <c r="H12" i="19"/>
  <c r="I12" i="19"/>
  <c r="H13" i="19"/>
  <c r="I13" i="19"/>
  <c r="H14" i="19"/>
  <c r="I14" i="19"/>
  <c r="H15" i="19"/>
  <c r="I15" i="19"/>
  <c r="H16" i="19"/>
  <c r="I16" i="19"/>
  <c r="H23" i="19"/>
  <c r="I23" i="19"/>
  <c r="H24" i="19"/>
  <c r="I24" i="19"/>
  <c r="H25" i="19"/>
  <c r="I25" i="19"/>
  <c r="H26" i="19"/>
  <c r="I26" i="19"/>
  <c r="H27" i="19"/>
  <c r="I27" i="19"/>
  <c r="H28" i="19"/>
  <c r="I28" i="19"/>
  <c r="H29" i="19"/>
  <c r="I29" i="19"/>
  <c r="H30" i="19"/>
  <c r="I30" i="19"/>
  <c r="H31" i="19"/>
  <c r="I31" i="19"/>
  <c r="H32" i="19"/>
  <c r="I32" i="19"/>
  <c r="H39" i="19"/>
  <c r="I39" i="19"/>
  <c r="H42" i="19"/>
  <c r="I42" i="19"/>
  <c r="H44" i="19"/>
  <c r="I44" i="19"/>
  <c r="H48" i="19"/>
  <c r="I48" i="19"/>
  <c r="H49" i="19"/>
  <c r="I49" i="19"/>
  <c r="H50" i="19"/>
  <c r="I50" i="19"/>
  <c r="H51" i="19"/>
  <c r="I51" i="19"/>
  <c r="H52" i="19"/>
  <c r="I52" i="19"/>
  <c r="H53" i="19"/>
  <c r="I53" i="19"/>
  <c r="H54" i="19"/>
  <c r="I54" i="19"/>
  <c r="H55" i="19"/>
  <c r="I55" i="19"/>
  <c r="H56" i="19"/>
  <c r="I56" i="19"/>
  <c r="H57" i="19"/>
  <c r="I57" i="19"/>
  <c r="H58" i="19"/>
  <c r="I58" i="19"/>
  <c r="H59" i="19"/>
  <c r="I59" i="19"/>
  <c r="H60" i="19"/>
  <c r="I60" i="19"/>
  <c r="H61" i="19"/>
  <c r="I61" i="19"/>
  <c r="H62" i="19"/>
  <c r="I62" i="19"/>
  <c r="H63" i="19"/>
  <c r="I63" i="19"/>
  <c r="H64" i="19"/>
  <c r="I64" i="19"/>
  <c r="H65" i="19"/>
  <c r="I65" i="19"/>
  <c r="H66" i="19"/>
  <c r="I66" i="19"/>
  <c r="H67" i="19"/>
  <c r="I67" i="19"/>
  <c r="H68" i="19"/>
  <c r="I68" i="19"/>
  <c r="H69" i="19"/>
  <c r="I69" i="19"/>
  <c r="H70" i="19"/>
  <c r="I70" i="19"/>
  <c r="H71" i="19"/>
  <c r="I71" i="19"/>
  <c r="H72" i="19"/>
  <c r="I72" i="19"/>
  <c r="H73" i="19"/>
  <c r="I73" i="19"/>
  <c r="H74" i="19"/>
  <c r="I74" i="19"/>
  <c r="H75" i="19"/>
  <c r="I75" i="19"/>
  <c r="H76" i="19"/>
  <c r="I76" i="19"/>
  <c r="H77" i="19"/>
  <c r="I77" i="19"/>
  <c r="H78" i="19"/>
  <c r="I78" i="19"/>
  <c r="H79" i="19"/>
  <c r="I79" i="19"/>
  <c r="H80" i="19"/>
  <c r="I80" i="19"/>
  <c r="H81" i="19"/>
  <c r="I81" i="19"/>
  <c r="H82" i="19"/>
  <c r="I82" i="19"/>
  <c r="H84" i="19"/>
  <c r="I84" i="19"/>
  <c r="H85" i="19"/>
  <c r="I85" i="19"/>
  <c r="H86" i="19"/>
  <c r="I86" i="19"/>
  <c r="H87" i="19"/>
  <c r="I87" i="19"/>
  <c r="H89" i="19"/>
  <c r="I89" i="19"/>
  <c r="H90" i="19"/>
  <c r="I90" i="19"/>
  <c r="H91" i="19"/>
  <c r="I91" i="19"/>
  <c r="H92" i="19"/>
  <c r="I92" i="19"/>
  <c r="H93" i="19"/>
  <c r="I93" i="19"/>
  <c r="H94" i="19"/>
  <c r="I94" i="19"/>
  <c r="H95" i="19"/>
  <c r="I95" i="19"/>
  <c r="H96" i="19"/>
  <c r="I96" i="19"/>
  <c r="H99" i="19"/>
  <c r="I99" i="19"/>
  <c r="H100" i="19"/>
  <c r="I100" i="19"/>
  <c r="H101" i="19"/>
  <c r="I101" i="19"/>
  <c r="H102" i="19"/>
  <c r="I102" i="19"/>
  <c r="H103" i="19"/>
  <c r="I103" i="19"/>
  <c r="H104" i="19"/>
  <c r="I104" i="19"/>
  <c r="H105" i="19"/>
  <c r="I105" i="19"/>
  <c r="H106" i="19"/>
  <c r="I106" i="19"/>
  <c r="H107" i="19"/>
  <c r="I107" i="19"/>
  <c r="H108" i="19"/>
  <c r="I108" i="19"/>
  <c r="H109" i="19"/>
  <c r="I109" i="19"/>
  <c r="H110" i="19"/>
  <c r="I110" i="19"/>
  <c r="H111" i="19"/>
  <c r="I111" i="19"/>
  <c r="H112" i="19"/>
  <c r="I112" i="19"/>
  <c r="H113" i="19"/>
  <c r="I113" i="19"/>
  <c r="H114" i="19"/>
  <c r="I114" i="19"/>
  <c r="H118" i="19"/>
  <c r="I118" i="19"/>
  <c r="H119" i="19"/>
  <c r="I119" i="19"/>
  <c r="H126" i="18"/>
  <c r="I126" i="18"/>
  <c r="H127" i="18"/>
  <c r="I127" i="18"/>
  <c r="H128" i="18"/>
  <c r="I128" i="18"/>
  <c r="H129" i="18"/>
  <c r="I129" i="18"/>
  <c r="H130" i="18"/>
  <c r="I130" i="18"/>
  <c r="H131" i="18"/>
  <c r="I131" i="18"/>
  <c r="H132" i="18"/>
  <c r="I132" i="18"/>
  <c r="H133" i="18"/>
  <c r="I133" i="18"/>
  <c r="H134" i="18"/>
  <c r="I134" i="18"/>
  <c r="H135" i="18"/>
  <c r="I135" i="18"/>
  <c r="H136" i="18"/>
  <c r="I136" i="18"/>
  <c r="H137" i="18"/>
  <c r="I137" i="18"/>
  <c r="H138" i="18"/>
  <c r="I138" i="18"/>
  <c r="H140" i="18"/>
  <c r="I140" i="18"/>
  <c r="H141" i="18"/>
  <c r="I141" i="18"/>
  <c r="H142" i="18"/>
  <c r="I142" i="18"/>
  <c r="H143" i="18"/>
  <c r="I143" i="18"/>
  <c r="H144" i="18"/>
  <c r="I144" i="18"/>
  <c r="H145" i="18"/>
  <c r="I145" i="18"/>
  <c r="H146" i="18"/>
  <c r="I146" i="18"/>
  <c r="H147" i="18"/>
  <c r="I147" i="18"/>
  <c r="H148" i="18"/>
  <c r="I148" i="18"/>
  <c r="H149" i="18"/>
  <c r="I149" i="18"/>
  <c r="H150" i="18"/>
  <c r="I150" i="18"/>
  <c r="H151" i="18"/>
  <c r="I151" i="18"/>
  <c r="H152" i="18"/>
  <c r="I152" i="18"/>
  <c r="H153" i="18"/>
  <c r="I153" i="18"/>
  <c r="H154" i="18"/>
  <c r="I154" i="18"/>
  <c r="H155" i="18"/>
  <c r="I155" i="18"/>
  <c r="H156" i="18"/>
  <c r="I156" i="18"/>
  <c r="H157" i="18"/>
  <c r="I157" i="18"/>
  <c r="H158" i="18"/>
  <c r="I158" i="18"/>
  <c r="H159" i="18"/>
  <c r="I159" i="18"/>
  <c r="H160" i="18"/>
  <c r="I160" i="18"/>
  <c r="H161" i="18"/>
  <c r="I161" i="18"/>
  <c r="H162" i="18"/>
  <c r="I162" i="18"/>
  <c r="H163" i="18"/>
  <c r="I163" i="18"/>
  <c r="H164" i="18"/>
  <c r="I164" i="18"/>
  <c r="H165" i="18"/>
  <c r="I165" i="18"/>
  <c r="H166" i="18"/>
  <c r="I166" i="18"/>
  <c r="H167" i="18"/>
  <c r="I167" i="18"/>
  <c r="H168" i="18"/>
  <c r="I168" i="18"/>
  <c r="H169" i="18"/>
  <c r="I169" i="18"/>
  <c r="H170" i="18"/>
  <c r="I170" i="18"/>
  <c r="H171" i="18"/>
  <c r="I171" i="18"/>
  <c r="H172" i="18"/>
  <c r="I172" i="18"/>
  <c r="H173" i="18"/>
  <c r="I173" i="18"/>
  <c r="H174" i="18"/>
  <c r="I174" i="18"/>
  <c r="H175" i="18"/>
  <c r="I175" i="18"/>
  <c r="H176" i="18"/>
  <c r="I176" i="18"/>
  <c r="H177" i="18"/>
  <c r="I177" i="18"/>
  <c r="H178" i="18"/>
  <c r="I178" i="18"/>
  <c r="H179" i="18"/>
  <c r="I179" i="18"/>
  <c r="H180" i="18"/>
  <c r="I180" i="18"/>
  <c r="H181" i="18"/>
  <c r="I181" i="18"/>
  <c r="H182" i="18"/>
  <c r="I182" i="18"/>
  <c r="H183" i="18"/>
  <c r="I183" i="18"/>
  <c r="H184" i="18"/>
  <c r="I184" i="18"/>
  <c r="H185" i="18"/>
  <c r="I185" i="18"/>
  <c r="H186" i="18"/>
  <c r="I186" i="18"/>
  <c r="H187" i="18"/>
  <c r="I187" i="18"/>
  <c r="H188" i="18"/>
  <c r="I188" i="18"/>
  <c r="H189" i="18"/>
  <c r="I189" i="18"/>
  <c r="H190" i="18"/>
  <c r="I190" i="18"/>
  <c r="H191" i="18"/>
  <c r="I191" i="18"/>
  <c r="H192" i="18"/>
  <c r="I192" i="18"/>
  <c r="H193" i="18"/>
  <c r="I193" i="18"/>
  <c r="H194" i="18"/>
  <c r="I194" i="18"/>
  <c r="H195" i="18"/>
  <c r="I195" i="18"/>
  <c r="H196" i="18"/>
  <c r="I196" i="18"/>
  <c r="H197" i="18"/>
  <c r="I197" i="18"/>
  <c r="H198" i="18"/>
  <c r="I198" i="18"/>
  <c r="H199" i="18"/>
  <c r="I199" i="18"/>
  <c r="H200" i="18"/>
  <c r="I200" i="18"/>
  <c r="H201" i="18"/>
  <c r="I201" i="18"/>
  <c r="H202" i="18"/>
  <c r="I202" i="18"/>
  <c r="H203" i="18"/>
  <c r="I203" i="18"/>
  <c r="H204" i="18"/>
  <c r="I204" i="18"/>
  <c r="H205" i="18"/>
  <c r="I205" i="18"/>
  <c r="H206" i="18"/>
  <c r="I206" i="18"/>
  <c r="H207" i="18"/>
  <c r="I207" i="18"/>
  <c r="H208" i="18"/>
  <c r="I208" i="18"/>
  <c r="H209" i="18"/>
  <c r="I209" i="18"/>
  <c r="H210" i="18"/>
  <c r="I210" i="18"/>
  <c r="H211" i="18"/>
  <c r="I211" i="18"/>
  <c r="H212" i="18"/>
  <c r="I212" i="18"/>
  <c r="H213" i="18"/>
  <c r="I213" i="18"/>
  <c r="H214" i="18"/>
  <c r="I214" i="18"/>
  <c r="H215" i="18"/>
  <c r="I215" i="18"/>
  <c r="H216" i="18"/>
  <c r="I216" i="18"/>
  <c r="H217" i="18"/>
  <c r="I217" i="18"/>
  <c r="H218" i="18"/>
  <c r="I218" i="18"/>
  <c r="H219" i="18"/>
  <c r="I219" i="18"/>
  <c r="H220" i="18"/>
  <c r="I220" i="18"/>
  <c r="H221" i="18"/>
  <c r="I221" i="18"/>
  <c r="H222" i="18"/>
  <c r="I222" i="18"/>
  <c r="H223" i="18"/>
  <c r="I223" i="18"/>
  <c r="H224" i="18"/>
  <c r="I224" i="18"/>
  <c r="H225" i="18"/>
  <c r="I225" i="18"/>
  <c r="H226" i="18"/>
  <c r="I226" i="18"/>
  <c r="H227" i="18"/>
  <c r="I227" i="18"/>
  <c r="H228" i="18"/>
  <c r="I228" i="18"/>
  <c r="H229" i="18"/>
  <c r="I229" i="18"/>
  <c r="H230" i="18"/>
  <c r="I230" i="18"/>
  <c r="H231" i="18"/>
  <c r="I231" i="18"/>
  <c r="H232" i="18"/>
  <c r="I232" i="18"/>
  <c r="H233" i="18"/>
  <c r="I233" i="18"/>
  <c r="H234" i="18"/>
  <c r="I234" i="18"/>
  <c r="H235" i="18"/>
  <c r="I235" i="18"/>
  <c r="H236" i="18"/>
  <c r="I236" i="18"/>
  <c r="H237" i="18"/>
  <c r="I237" i="18"/>
  <c r="H238" i="18"/>
  <c r="I238" i="18"/>
  <c r="H239" i="18"/>
  <c r="I239" i="18"/>
  <c r="H240" i="18"/>
  <c r="I240" i="18"/>
  <c r="H241" i="18"/>
  <c r="I241" i="18"/>
  <c r="H242" i="18"/>
  <c r="I242" i="18"/>
  <c r="H243" i="18"/>
  <c r="I243" i="18"/>
  <c r="H244" i="18"/>
  <c r="I244" i="18"/>
  <c r="H245" i="18"/>
  <c r="I245" i="18"/>
  <c r="H246" i="18"/>
  <c r="I246" i="18"/>
  <c r="H247" i="18"/>
  <c r="I247" i="18"/>
  <c r="H248" i="18"/>
  <c r="I248" i="18"/>
  <c r="H249" i="18"/>
  <c r="I249" i="18"/>
  <c r="H250" i="18"/>
  <c r="I250" i="18"/>
  <c r="H251" i="18"/>
  <c r="I251" i="18"/>
  <c r="H252" i="18"/>
  <c r="I252" i="18"/>
  <c r="H253" i="18"/>
  <c r="I253" i="18"/>
  <c r="H254" i="18"/>
  <c r="I254" i="18"/>
  <c r="H255" i="18"/>
  <c r="I255" i="18"/>
  <c r="H256" i="18"/>
  <c r="I256" i="18"/>
  <c r="H257" i="18"/>
  <c r="I257" i="18"/>
  <c r="H258" i="18"/>
  <c r="I258" i="18"/>
  <c r="H259" i="18"/>
  <c r="I259" i="18"/>
  <c r="H260" i="18"/>
  <c r="I260" i="18"/>
  <c r="H261" i="18"/>
  <c r="I261" i="18"/>
  <c r="H262" i="18"/>
  <c r="I262" i="18"/>
  <c r="H263" i="18"/>
  <c r="I263" i="18"/>
  <c r="H264" i="18"/>
  <c r="I264" i="18"/>
  <c r="H265" i="18"/>
  <c r="I265" i="18"/>
  <c r="H266" i="18"/>
  <c r="I266" i="18"/>
  <c r="H267" i="18"/>
  <c r="I267" i="18"/>
  <c r="H268" i="18"/>
  <c r="I268" i="18"/>
  <c r="H269" i="18"/>
  <c r="I269" i="18"/>
  <c r="H270" i="18"/>
  <c r="I270" i="18"/>
  <c r="H271" i="18"/>
  <c r="I271" i="18"/>
  <c r="H272" i="18"/>
  <c r="I272" i="18"/>
  <c r="H273" i="18"/>
  <c r="I273" i="18"/>
  <c r="H274" i="18"/>
  <c r="I274" i="18"/>
  <c r="H275" i="18"/>
  <c r="I275" i="18"/>
  <c r="H276" i="18"/>
  <c r="I276" i="18"/>
  <c r="H277" i="18"/>
  <c r="I277" i="18"/>
  <c r="H278" i="18"/>
  <c r="I278" i="18"/>
  <c r="H279" i="18"/>
  <c r="I279" i="18"/>
  <c r="H280" i="18"/>
  <c r="I280" i="18"/>
  <c r="H281" i="18"/>
  <c r="I281" i="18"/>
  <c r="H282" i="18"/>
  <c r="I282" i="18"/>
  <c r="H283" i="18"/>
  <c r="I283" i="18"/>
  <c r="H284" i="18"/>
  <c r="I284" i="18"/>
  <c r="H285" i="18"/>
  <c r="I285" i="18"/>
  <c r="H286" i="18"/>
  <c r="I286" i="18"/>
  <c r="H287" i="18"/>
  <c r="I287" i="18"/>
  <c r="H288" i="18"/>
  <c r="I288" i="18"/>
  <c r="I125" i="18"/>
  <c r="H125" i="18"/>
  <c r="H7" i="18"/>
  <c r="I7" i="18"/>
  <c r="H8" i="18"/>
  <c r="I8" i="18"/>
  <c r="H9" i="18"/>
  <c r="I9" i="18"/>
  <c r="H10" i="18"/>
  <c r="I10" i="18"/>
  <c r="H11" i="18"/>
  <c r="I11" i="18"/>
  <c r="H12" i="18"/>
  <c r="I12" i="18"/>
  <c r="H13" i="18"/>
  <c r="I13" i="18"/>
  <c r="H14" i="18"/>
  <c r="I14" i="18"/>
  <c r="H15" i="18"/>
  <c r="I15" i="18"/>
  <c r="H16" i="18"/>
  <c r="I16" i="18"/>
  <c r="H23" i="18"/>
  <c r="I23" i="18"/>
  <c r="H24" i="18"/>
  <c r="I24" i="18"/>
  <c r="H25" i="18"/>
  <c r="I25" i="18"/>
  <c r="H26" i="18"/>
  <c r="I26" i="18"/>
  <c r="H27" i="18"/>
  <c r="I27" i="18"/>
  <c r="H28" i="18"/>
  <c r="I28" i="18"/>
  <c r="H29" i="18"/>
  <c r="I29" i="18"/>
  <c r="H30" i="18"/>
  <c r="I30" i="18"/>
  <c r="H31" i="18"/>
  <c r="I31" i="18"/>
  <c r="H32" i="18"/>
  <c r="I32" i="18"/>
  <c r="H39" i="18"/>
  <c r="I39" i="18"/>
  <c r="H42" i="18"/>
  <c r="I42" i="18"/>
  <c r="H44" i="18"/>
  <c r="I44" i="18"/>
  <c r="H48" i="18"/>
  <c r="I48" i="18"/>
  <c r="H49" i="18"/>
  <c r="I49" i="18"/>
  <c r="H50" i="18"/>
  <c r="I50" i="18"/>
  <c r="H51" i="18"/>
  <c r="I51" i="18"/>
  <c r="H52" i="18"/>
  <c r="I52" i="18"/>
  <c r="H53" i="18"/>
  <c r="I53" i="18"/>
  <c r="H54" i="18"/>
  <c r="I54" i="18"/>
  <c r="H55" i="18"/>
  <c r="I55" i="18"/>
  <c r="H56" i="18"/>
  <c r="I56" i="18"/>
  <c r="H57" i="18"/>
  <c r="I57" i="18"/>
  <c r="H58" i="18"/>
  <c r="I58" i="18"/>
  <c r="H59" i="18"/>
  <c r="I59" i="18"/>
  <c r="H60" i="18"/>
  <c r="I60" i="18"/>
  <c r="H61" i="18"/>
  <c r="I61" i="18"/>
  <c r="H62" i="18"/>
  <c r="I62" i="18"/>
  <c r="H63" i="18"/>
  <c r="I63" i="18"/>
  <c r="H64" i="18"/>
  <c r="I64" i="18"/>
  <c r="H65" i="18"/>
  <c r="I65" i="18"/>
  <c r="H66" i="18"/>
  <c r="I66" i="18"/>
  <c r="H67" i="18"/>
  <c r="I67" i="18"/>
  <c r="H68" i="18"/>
  <c r="I68" i="18"/>
  <c r="H69" i="18"/>
  <c r="I69" i="18"/>
  <c r="H70" i="18"/>
  <c r="I70" i="18"/>
  <c r="H71" i="18"/>
  <c r="I71" i="18"/>
  <c r="H72" i="18"/>
  <c r="I72" i="18"/>
  <c r="H73" i="18"/>
  <c r="I73" i="18"/>
  <c r="H74" i="18"/>
  <c r="I74" i="18"/>
  <c r="H75" i="18"/>
  <c r="I75" i="18"/>
  <c r="H76" i="18"/>
  <c r="I76" i="18"/>
  <c r="H77" i="18"/>
  <c r="I77" i="18"/>
  <c r="H78" i="18"/>
  <c r="I78" i="18"/>
  <c r="H79" i="18"/>
  <c r="I79" i="18"/>
  <c r="H80" i="18"/>
  <c r="I80" i="18"/>
  <c r="H81" i="18"/>
  <c r="I81" i="18"/>
  <c r="H82" i="18"/>
  <c r="I82" i="18"/>
  <c r="H84" i="18"/>
  <c r="I84" i="18"/>
  <c r="H85" i="18"/>
  <c r="I85" i="18"/>
  <c r="H86" i="18"/>
  <c r="I86" i="18"/>
  <c r="H87" i="18"/>
  <c r="I87" i="18"/>
  <c r="H89" i="18"/>
  <c r="I89" i="18"/>
  <c r="H90" i="18"/>
  <c r="I90" i="18"/>
  <c r="H91" i="18"/>
  <c r="I91" i="18"/>
  <c r="H92" i="18"/>
  <c r="I92" i="18"/>
  <c r="H93" i="18"/>
  <c r="I93" i="18"/>
  <c r="H94" i="18"/>
  <c r="I94" i="18"/>
  <c r="H95" i="18"/>
  <c r="I95" i="18"/>
  <c r="H96" i="18"/>
  <c r="I96" i="18"/>
  <c r="H99" i="18"/>
  <c r="I99" i="18"/>
  <c r="H100" i="18"/>
  <c r="I100" i="18"/>
  <c r="H101" i="18"/>
  <c r="I101" i="18"/>
  <c r="H102" i="18"/>
  <c r="I102" i="18"/>
  <c r="H103" i="18"/>
  <c r="I103" i="18"/>
  <c r="H104" i="18"/>
  <c r="I104" i="18"/>
  <c r="H105" i="18"/>
  <c r="I105" i="18"/>
  <c r="H106" i="18"/>
  <c r="I106" i="18"/>
  <c r="H107" i="18"/>
  <c r="I107" i="18"/>
  <c r="H108" i="18"/>
  <c r="I108" i="18"/>
  <c r="H109" i="18"/>
  <c r="I109" i="18"/>
  <c r="H110" i="18"/>
  <c r="I110" i="18"/>
  <c r="H111" i="18"/>
  <c r="I111" i="18"/>
  <c r="H112" i="18"/>
  <c r="I112" i="18"/>
  <c r="H113" i="18"/>
  <c r="I113" i="18"/>
  <c r="H114" i="18"/>
  <c r="I114" i="18"/>
  <c r="H118" i="18"/>
  <c r="I118" i="18"/>
  <c r="H119" i="18"/>
  <c r="I119" i="18"/>
  <c r="H126" i="16"/>
  <c r="I126" i="16"/>
  <c r="H127" i="16"/>
  <c r="I127" i="16"/>
  <c r="H128" i="16"/>
  <c r="I128" i="16"/>
  <c r="H129" i="16"/>
  <c r="I129" i="16"/>
  <c r="H130" i="16"/>
  <c r="I130" i="16"/>
  <c r="H131" i="16"/>
  <c r="I131" i="16"/>
  <c r="H132" i="16"/>
  <c r="I132" i="16"/>
  <c r="H133" i="16"/>
  <c r="I133" i="16"/>
  <c r="H134" i="16"/>
  <c r="I134" i="16"/>
  <c r="H135" i="16"/>
  <c r="I135" i="16"/>
  <c r="H136" i="16"/>
  <c r="I136" i="16"/>
  <c r="H137" i="16"/>
  <c r="I137" i="16"/>
  <c r="H138" i="16"/>
  <c r="I138" i="16"/>
  <c r="H140" i="16"/>
  <c r="I140" i="16"/>
  <c r="H141" i="16"/>
  <c r="I141" i="16"/>
  <c r="H142" i="16"/>
  <c r="I142" i="16"/>
  <c r="H143" i="16"/>
  <c r="I143" i="16"/>
  <c r="H144" i="16"/>
  <c r="I144" i="16"/>
  <c r="H145" i="16"/>
  <c r="I145" i="16"/>
  <c r="H146" i="16"/>
  <c r="I146" i="16"/>
  <c r="H147" i="16"/>
  <c r="I147" i="16"/>
  <c r="H148" i="16"/>
  <c r="I148" i="16"/>
  <c r="H149" i="16"/>
  <c r="I149" i="16"/>
  <c r="H150" i="16"/>
  <c r="I150" i="16"/>
  <c r="H151" i="16"/>
  <c r="I151" i="16"/>
  <c r="H152" i="16"/>
  <c r="I152" i="16"/>
  <c r="H153" i="16"/>
  <c r="I153" i="16"/>
  <c r="H154" i="16"/>
  <c r="I154" i="16"/>
  <c r="H155" i="16"/>
  <c r="I155" i="16"/>
  <c r="H156" i="16"/>
  <c r="I156" i="16"/>
  <c r="H157" i="16"/>
  <c r="I157" i="16"/>
  <c r="H158" i="16"/>
  <c r="I158" i="16"/>
  <c r="H159" i="16"/>
  <c r="I159" i="16"/>
  <c r="H160" i="16"/>
  <c r="I160" i="16"/>
  <c r="H161" i="16"/>
  <c r="I161" i="16"/>
  <c r="H162" i="16"/>
  <c r="I162" i="16"/>
  <c r="H163" i="16"/>
  <c r="I163" i="16"/>
  <c r="H164" i="16"/>
  <c r="I164" i="16"/>
  <c r="H165" i="16"/>
  <c r="I165" i="16"/>
  <c r="H166" i="16"/>
  <c r="I166" i="16"/>
  <c r="H167" i="16"/>
  <c r="I167" i="16"/>
  <c r="H168" i="16"/>
  <c r="I168" i="16"/>
  <c r="H169" i="16"/>
  <c r="I169" i="16"/>
  <c r="H170" i="16"/>
  <c r="I170" i="16"/>
  <c r="H171" i="16"/>
  <c r="I171" i="16"/>
  <c r="H172" i="16"/>
  <c r="I172" i="16"/>
  <c r="H173" i="16"/>
  <c r="I173" i="16"/>
  <c r="H174" i="16"/>
  <c r="I174" i="16"/>
  <c r="H175" i="16"/>
  <c r="I175" i="16"/>
  <c r="H176" i="16"/>
  <c r="I176" i="16"/>
  <c r="H177" i="16"/>
  <c r="I177" i="16"/>
  <c r="H178" i="16"/>
  <c r="I178" i="16"/>
  <c r="H179" i="16"/>
  <c r="I179" i="16"/>
  <c r="H180" i="16"/>
  <c r="I180" i="16"/>
  <c r="H181" i="16"/>
  <c r="I181" i="16"/>
  <c r="H182" i="16"/>
  <c r="I182" i="16"/>
  <c r="H183" i="16"/>
  <c r="I183" i="16"/>
  <c r="H184" i="16"/>
  <c r="I184" i="16"/>
  <c r="H185" i="16"/>
  <c r="I185" i="16"/>
  <c r="H186" i="16"/>
  <c r="I186" i="16"/>
  <c r="H187" i="16"/>
  <c r="I187" i="16"/>
  <c r="H188" i="16"/>
  <c r="I188" i="16"/>
  <c r="H189" i="16"/>
  <c r="I189" i="16"/>
  <c r="H190" i="16"/>
  <c r="I190" i="16"/>
  <c r="H191" i="16"/>
  <c r="I191" i="16"/>
  <c r="H192" i="16"/>
  <c r="I192" i="16"/>
  <c r="H193" i="16"/>
  <c r="I193" i="16"/>
  <c r="H194" i="16"/>
  <c r="I194" i="16"/>
  <c r="H195" i="16"/>
  <c r="I195" i="16"/>
  <c r="H196" i="16"/>
  <c r="I196" i="16"/>
  <c r="H197" i="16"/>
  <c r="I197" i="16"/>
  <c r="H198" i="16"/>
  <c r="I198" i="16"/>
  <c r="H199" i="16"/>
  <c r="I199" i="16"/>
  <c r="H200" i="16"/>
  <c r="I200" i="16"/>
  <c r="H201" i="16"/>
  <c r="I201" i="16"/>
  <c r="H202" i="16"/>
  <c r="I202" i="16"/>
  <c r="H203" i="16"/>
  <c r="I203" i="16"/>
  <c r="H204" i="16"/>
  <c r="I204" i="16"/>
  <c r="H205" i="16"/>
  <c r="I205" i="16"/>
  <c r="H206" i="16"/>
  <c r="I206" i="16"/>
  <c r="H207" i="16"/>
  <c r="I207" i="16"/>
  <c r="H208" i="16"/>
  <c r="I208" i="16"/>
  <c r="H209" i="16"/>
  <c r="I209" i="16"/>
  <c r="H210" i="16"/>
  <c r="I210" i="16"/>
  <c r="H211" i="16"/>
  <c r="I211" i="16"/>
  <c r="H212" i="16"/>
  <c r="I212" i="16"/>
  <c r="H213" i="16"/>
  <c r="I213" i="16"/>
  <c r="H214" i="16"/>
  <c r="I214" i="16"/>
  <c r="H215" i="16"/>
  <c r="I215" i="16"/>
  <c r="H216" i="16"/>
  <c r="I216" i="16"/>
  <c r="H217" i="16"/>
  <c r="I217" i="16"/>
  <c r="H218" i="16"/>
  <c r="I218" i="16"/>
  <c r="H219" i="16"/>
  <c r="I219" i="16"/>
  <c r="H220" i="16"/>
  <c r="I220" i="16"/>
  <c r="H221" i="16"/>
  <c r="I221" i="16"/>
  <c r="H222" i="16"/>
  <c r="I222" i="16"/>
  <c r="H223" i="16"/>
  <c r="I223" i="16"/>
  <c r="H224" i="16"/>
  <c r="I224" i="16"/>
  <c r="H225" i="16"/>
  <c r="I225" i="16"/>
  <c r="H226" i="16"/>
  <c r="I226" i="16"/>
  <c r="H227" i="16"/>
  <c r="I227" i="16"/>
  <c r="H228" i="16"/>
  <c r="I228" i="16"/>
  <c r="H229" i="16"/>
  <c r="I229" i="16"/>
  <c r="H230" i="16"/>
  <c r="I230" i="16"/>
  <c r="H231" i="16"/>
  <c r="I231" i="16"/>
  <c r="H232" i="16"/>
  <c r="I232" i="16"/>
  <c r="H233" i="16"/>
  <c r="I233" i="16"/>
  <c r="H234" i="16"/>
  <c r="I234" i="16"/>
  <c r="H235" i="16"/>
  <c r="I235" i="16"/>
  <c r="H236" i="16"/>
  <c r="I236" i="16"/>
  <c r="H237" i="16"/>
  <c r="I237" i="16"/>
  <c r="H238" i="16"/>
  <c r="I238" i="16"/>
  <c r="H239" i="16"/>
  <c r="I239" i="16"/>
  <c r="H240" i="16"/>
  <c r="I240" i="16"/>
  <c r="H241" i="16"/>
  <c r="I241" i="16"/>
  <c r="H242" i="16"/>
  <c r="I242" i="16"/>
  <c r="H243" i="16"/>
  <c r="I243" i="16"/>
  <c r="H244" i="16"/>
  <c r="I244" i="16"/>
  <c r="H245" i="16"/>
  <c r="I245" i="16"/>
  <c r="H246" i="16"/>
  <c r="I246" i="16"/>
  <c r="H247" i="16"/>
  <c r="I247" i="16"/>
  <c r="H248" i="16"/>
  <c r="I248" i="16"/>
  <c r="H249" i="16"/>
  <c r="I249" i="16"/>
  <c r="H250" i="16"/>
  <c r="I250" i="16"/>
  <c r="H251" i="16"/>
  <c r="I251" i="16"/>
  <c r="H252" i="16"/>
  <c r="I252" i="16"/>
  <c r="H253" i="16"/>
  <c r="I253" i="16"/>
  <c r="H254" i="16"/>
  <c r="I254" i="16"/>
  <c r="H255" i="16"/>
  <c r="I255" i="16"/>
  <c r="H256" i="16"/>
  <c r="I256" i="16"/>
  <c r="H257" i="16"/>
  <c r="I257" i="16"/>
  <c r="H258" i="16"/>
  <c r="I258" i="16"/>
  <c r="H259" i="16"/>
  <c r="I259" i="16"/>
  <c r="H260" i="16"/>
  <c r="I260" i="16"/>
  <c r="H261" i="16"/>
  <c r="I261" i="16"/>
  <c r="H262" i="16"/>
  <c r="I262" i="16"/>
  <c r="H263" i="16"/>
  <c r="I263" i="16"/>
  <c r="H264" i="16"/>
  <c r="I264" i="16"/>
  <c r="H265" i="16"/>
  <c r="I265" i="16"/>
  <c r="H266" i="16"/>
  <c r="I266" i="16"/>
  <c r="H267" i="16"/>
  <c r="I267" i="16"/>
  <c r="H268" i="16"/>
  <c r="I268" i="16"/>
  <c r="H269" i="16"/>
  <c r="I269" i="16"/>
  <c r="H270" i="16"/>
  <c r="I270" i="16"/>
  <c r="H271" i="16"/>
  <c r="I271" i="16"/>
  <c r="H272" i="16"/>
  <c r="I272" i="16"/>
  <c r="H273" i="16"/>
  <c r="I273" i="16"/>
  <c r="H274" i="16"/>
  <c r="I274" i="16"/>
  <c r="H275" i="16"/>
  <c r="I275" i="16"/>
  <c r="H276" i="16"/>
  <c r="I276" i="16"/>
  <c r="H277" i="16"/>
  <c r="I277" i="16"/>
  <c r="H278" i="16"/>
  <c r="I278" i="16"/>
  <c r="H279" i="16"/>
  <c r="I279" i="16"/>
  <c r="H280" i="16"/>
  <c r="I280" i="16"/>
  <c r="H281" i="16"/>
  <c r="I281" i="16"/>
  <c r="H282" i="16"/>
  <c r="I282" i="16"/>
  <c r="H283" i="16"/>
  <c r="I283" i="16"/>
  <c r="H284" i="16"/>
  <c r="I284" i="16"/>
  <c r="H285" i="16"/>
  <c r="I285" i="16"/>
  <c r="H286" i="16"/>
  <c r="I286" i="16"/>
  <c r="H287" i="16"/>
  <c r="I287" i="16"/>
  <c r="H288" i="16"/>
  <c r="I288" i="16"/>
  <c r="I125" i="16"/>
  <c r="H125" i="16"/>
  <c r="H7" i="16"/>
  <c r="I7" i="16"/>
  <c r="H8" i="16"/>
  <c r="I8" i="16"/>
  <c r="H9" i="16"/>
  <c r="I9" i="16"/>
  <c r="H10" i="16"/>
  <c r="I10" i="16"/>
  <c r="H11" i="16"/>
  <c r="I11" i="16"/>
  <c r="H12" i="16"/>
  <c r="I12" i="16"/>
  <c r="H13" i="16"/>
  <c r="I13" i="16"/>
  <c r="H14" i="16"/>
  <c r="I14" i="16"/>
  <c r="H15" i="16"/>
  <c r="I15" i="16"/>
  <c r="H16" i="16"/>
  <c r="I16" i="16"/>
  <c r="H23" i="16"/>
  <c r="I23" i="16"/>
  <c r="H24" i="16"/>
  <c r="I24" i="16"/>
  <c r="H25" i="16"/>
  <c r="I25" i="16"/>
  <c r="H26" i="16"/>
  <c r="I26" i="16"/>
  <c r="H27" i="16"/>
  <c r="I27" i="16"/>
  <c r="H28" i="16"/>
  <c r="I28" i="16"/>
  <c r="H29" i="16"/>
  <c r="I29" i="16"/>
  <c r="H30" i="16"/>
  <c r="I30" i="16"/>
  <c r="H31" i="16"/>
  <c r="I31" i="16"/>
  <c r="H32" i="16"/>
  <c r="I32" i="16"/>
  <c r="H39" i="16"/>
  <c r="I39" i="16"/>
  <c r="H42" i="16"/>
  <c r="I42" i="16"/>
  <c r="H44" i="16"/>
  <c r="I44" i="16"/>
  <c r="H48" i="16"/>
  <c r="I48" i="16"/>
  <c r="H49" i="16"/>
  <c r="I49" i="16"/>
  <c r="H50" i="16"/>
  <c r="I50" i="16"/>
  <c r="H51" i="16"/>
  <c r="I51" i="16"/>
  <c r="H52" i="16"/>
  <c r="I52" i="16"/>
  <c r="H53" i="16"/>
  <c r="I53" i="16"/>
  <c r="H54" i="16"/>
  <c r="I54" i="16"/>
  <c r="H55" i="16"/>
  <c r="I55" i="16"/>
  <c r="H56" i="16"/>
  <c r="I56" i="16"/>
  <c r="H57" i="16"/>
  <c r="I57" i="16"/>
  <c r="H58" i="16"/>
  <c r="I58" i="16"/>
  <c r="H59" i="16"/>
  <c r="I59" i="16"/>
  <c r="H60" i="16"/>
  <c r="I60" i="16"/>
  <c r="H61" i="16"/>
  <c r="I61" i="16"/>
  <c r="H62" i="16"/>
  <c r="I62" i="16"/>
  <c r="H63" i="16"/>
  <c r="I63" i="16"/>
  <c r="H64" i="16"/>
  <c r="I64" i="16"/>
  <c r="H65" i="16"/>
  <c r="I65" i="16"/>
  <c r="H66" i="16"/>
  <c r="I66" i="16"/>
  <c r="H67" i="16"/>
  <c r="I67" i="16"/>
  <c r="H68" i="16"/>
  <c r="I68" i="16"/>
  <c r="H69" i="16"/>
  <c r="I69" i="16"/>
  <c r="H70" i="16"/>
  <c r="I70" i="16"/>
  <c r="H71" i="16"/>
  <c r="I71" i="16"/>
  <c r="H72" i="16"/>
  <c r="I72" i="16"/>
  <c r="H73" i="16"/>
  <c r="I73" i="16"/>
  <c r="H74" i="16"/>
  <c r="I74" i="16"/>
  <c r="H75" i="16"/>
  <c r="I75" i="16"/>
  <c r="H76" i="16"/>
  <c r="I76" i="16"/>
  <c r="H77" i="16"/>
  <c r="I77" i="16"/>
  <c r="H78" i="16"/>
  <c r="I78" i="16"/>
  <c r="H79" i="16"/>
  <c r="I79" i="16"/>
  <c r="H80" i="16"/>
  <c r="I80" i="16"/>
  <c r="H81" i="16"/>
  <c r="I81" i="16"/>
  <c r="H82" i="16"/>
  <c r="I82" i="16"/>
  <c r="H84" i="16"/>
  <c r="I84" i="16"/>
  <c r="H85" i="16"/>
  <c r="I85" i="16"/>
  <c r="H86" i="16"/>
  <c r="I86" i="16"/>
  <c r="H87" i="16"/>
  <c r="I87" i="16"/>
  <c r="H89" i="16"/>
  <c r="I89" i="16"/>
  <c r="H90" i="16"/>
  <c r="I90" i="16"/>
  <c r="H91" i="16"/>
  <c r="I91" i="16"/>
  <c r="H92" i="16"/>
  <c r="I92" i="16"/>
  <c r="H93" i="16"/>
  <c r="I93" i="16"/>
  <c r="H94" i="16"/>
  <c r="I94" i="16"/>
  <c r="H95" i="16"/>
  <c r="I95" i="16"/>
  <c r="H96" i="16"/>
  <c r="I96" i="16"/>
  <c r="H99" i="16"/>
  <c r="I99" i="16"/>
  <c r="H100" i="16"/>
  <c r="I100" i="16"/>
  <c r="H101" i="16"/>
  <c r="I101" i="16"/>
  <c r="H102" i="16"/>
  <c r="I102" i="16"/>
  <c r="H103" i="16"/>
  <c r="I103" i="16"/>
  <c r="H104" i="16"/>
  <c r="I104" i="16"/>
  <c r="H105" i="16"/>
  <c r="I105" i="16"/>
  <c r="H106" i="16"/>
  <c r="I106" i="16"/>
  <c r="H107" i="16"/>
  <c r="I107" i="16"/>
  <c r="H108" i="16"/>
  <c r="I108" i="16"/>
  <c r="H109" i="16"/>
  <c r="I109" i="16"/>
  <c r="H110" i="16"/>
  <c r="I110" i="16"/>
  <c r="H111" i="16"/>
  <c r="I111" i="16"/>
  <c r="H112" i="16"/>
  <c r="I112" i="16"/>
  <c r="H113" i="16"/>
  <c r="I113" i="16"/>
  <c r="H114" i="16"/>
  <c r="I114" i="16"/>
  <c r="H118" i="16"/>
  <c r="I118" i="16"/>
  <c r="H119" i="16"/>
  <c r="I119" i="16"/>
  <c r="H126" i="15"/>
  <c r="I126" i="15"/>
  <c r="H127" i="15"/>
  <c r="I127" i="15"/>
  <c r="H128" i="15"/>
  <c r="I128" i="15"/>
  <c r="H129" i="15"/>
  <c r="I129" i="15"/>
  <c r="H130" i="15"/>
  <c r="I130" i="15"/>
  <c r="H131" i="15"/>
  <c r="I131" i="15"/>
  <c r="H132" i="15"/>
  <c r="I132" i="15"/>
  <c r="H133" i="15"/>
  <c r="I133" i="15"/>
  <c r="H134" i="15"/>
  <c r="I134" i="15"/>
  <c r="H135" i="15"/>
  <c r="I135" i="15"/>
  <c r="H136" i="15"/>
  <c r="I136" i="15"/>
  <c r="H137" i="15"/>
  <c r="I137" i="15"/>
  <c r="H138" i="15"/>
  <c r="I138" i="15"/>
  <c r="H140" i="15"/>
  <c r="I140" i="15"/>
  <c r="H141" i="15"/>
  <c r="I141" i="15"/>
  <c r="H142" i="15"/>
  <c r="I142" i="15"/>
  <c r="H143" i="15"/>
  <c r="I143" i="15"/>
  <c r="H144" i="15"/>
  <c r="I144" i="15"/>
  <c r="H145" i="15"/>
  <c r="I145" i="15"/>
  <c r="H146" i="15"/>
  <c r="I146" i="15"/>
  <c r="H147" i="15"/>
  <c r="I147" i="15"/>
  <c r="H148" i="15"/>
  <c r="I148" i="15"/>
  <c r="H149" i="15"/>
  <c r="I149" i="15"/>
  <c r="H150" i="15"/>
  <c r="I150" i="15"/>
  <c r="H151" i="15"/>
  <c r="I151" i="15"/>
  <c r="H152" i="15"/>
  <c r="I152" i="15"/>
  <c r="H153" i="15"/>
  <c r="I153" i="15"/>
  <c r="H154" i="15"/>
  <c r="I154" i="15"/>
  <c r="H155" i="15"/>
  <c r="I155" i="15"/>
  <c r="H156" i="15"/>
  <c r="I156" i="15"/>
  <c r="H157" i="15"/>
  <c r="I157" i="15"/>
  <c r="H158" i="15"/>
  <c r="I158" i="15"/>
  <c r="H159" i="15"/>
  <c r="I159" i="15"/>
  <c r="H160" i="15"/>
  <c r="I160" i="15"/>
  <c r="H161" i="15"/>
  <c r="I161" i="15"/>
  <c r="H162" i="15"/>
  <c r="I162" i="15"/>
  <c r="H163" i="15"/>
  <c r="I163" i="15"/>
  <c r="H164" i="15"/>
  <c r="I164" i="15"/>
  <c r="H165" i="15"/>
  <c r="I165" i="15"/>
  <c r="H166" i="15"/>
  <c r="I166" i="15"/>
  <c r="H167" i="15"/>
  <c r="I167" i="15"/>
  <c r="H168" i="15"/>
  <c r="I168" i="15"/>
  <c r="H169" i="15"/>
  <c r="I169" i="15"/>
  <c r="H170" i="15"/>
  <c r="I170" i="15"/>
  <c r="H171" i="15"/>
  <c r="I171" i="15"/>
  <c r="H172" i="15"/>
  <c r="I172" i="15"/>
  <c r="H173" i="15"/>
  <c r="I173" i="15"/>
  <c r="H174" i="15"/>
  <c r="I174" i="15"/>
  <c r="H175" i="15"/>
  <c r="I175" i="15"/>
  <c r="H176" i="15"/>
  <c r="I176" i="15"/>
  <c r="H177" i="15"/>
  <c r="I177" i="15"/>
  <c r="H178" i="15"/>
  <c r="I178" i="15"/>
  <c r="H179" i="15"/>
  <c r="I179" i="15"/>
  <c r="H180" i="15"/>
  <c r="I180" i="15"/>
  <c r="H181" i="15"/>
  <c r="I181" i="15"/>
  <c r="H182" i="15"/>
  <c r="I182" i="15"/>
  <c r="H183" i="15"/>
  <c r="I183" i="15"/>
  <c r="H184" i="15"/>
  <c r="I184" i="15"/>
  <c r="H185" i="15"/>
  <c r="I185" i="15"/>
  <c r="H186" i="15"/>
  <c r="I186" i="15"/>
  <c r="H187" i="15"/>
  <c r="I187" i="15"/>
  <c r="H188" i="15"/>
  <c r="I188" i="15"/>
  <c r="H189" i="15"/>
  <c r="I189" i="15"/>
  <c r="H190" i="15"/>
  <c r="I190" i="15"/>
  <c r="H191" i="15"/>
  <c r="I191" i="15"/>
  <c r="H192" i="15"/>
  <c r="I192" i="15"/>
  <c r="H193" i="15"/>
  <c r="I193" i="15"/>
  <c r="H194" i="15"/>
  <c r="I194" i="15"/>
  <c r="H195" i="15"/>
  <c r="I195" i="15"/>
  <c r="H196" i="15"/>
  <c r="I196" i="15"/>
  <c r="H197" i="15"/>
  <c r="I197" i="15"/>
  <c r="H198" i="15"/>
  <c r="I198" i="15"/>
  <c r="H199" i="15"/>
  <c r="I199" i="15"/>
  <c r="H200" i="15"/>
  <c r="I200" i="15"/>
  <c r="H201" i="15"/>
  <c r="I201" i="15"/>
  <c r="H202" i="15"/>
  <c r="I202" i="15"/>
  <c r="H203" i="15"/>
  <c r="I203" i="15"/>
  <c r="H204" i="15"/>
  <c r="I204" i="15"/>
  <c r="H205" i="15"/>
  <c r="I205" i="15"/>
  <c r="H206" i="15"/>
  <c r="I206" i="15"/>
  <c r="H207" i="15"/>
  <c r="I207" i="15"/>
  <c r="H208" i="15"/>
  <c r="I208" i="15"/>
  <c r="H209" i="15"/>
  <c r="I209" i="15"/>
  <c r="H210" i="15"/>
  <c r="I210" i="15"/>
  <c r="H211" i="15"/>
  <c r="I211" i="15"/>
  <c r="H212" i="15"/>
  <c r="I212" i="15"/>
  <c r="H213" i="15"/>
  <c r="I213" i="15"/>
  <c r="H214" i="15"/>
  <c r="I214" i="15"/>
  <c r="H215" i="15"/>
  <c r="I215" i="15"/>
  <c r="H216" i="15"/>
  <c r="I216" i="15"/>
  <c r="H217" i="15"/>
  <c r="I217" i="15"/>
  <c r="H218" i="15"/>
  <c r="I218" i="15"/>
  <c r="H219" i="15"/>
  <c r="I219" i="15"/>
  <c r="H220" i="15"/>
  <c r="I220" i="15"/>
  <c r="H221" i="15"/>
  <c r="I221" i="15"/>
  <c r="H222" i="15"/>
  <c r="I222" i="15"/>
  <c r="H223" i="15"/>
  <c r="I223" i="15"/>
  <c r="H224" i="15"/>
  <c r="I224" i="15"/>
  <c r="H225" i="15"/>
  <c r="I225" i="15"/>
  <c r="H226" i="15"/>
  <c r="I226" i="15"/>
  <c r="H227" i="15"/>
  <c r="I227" i="15"/>
  <c r="H228" i="15"/>
  <c r="I228" i="15"/>
  <c r="H229" i="15"/>
  <c r="I229" i="15"/>
  <c r="H230" i="15"/>
  <c r="I230" i="15"/>
  <c r="H231" i="15"/>
  <c r="I231" i="15"/>
  <c r="H232" i="15"/>
  <c r="I232" i="15"/>
  <c r="H233" i="15"/>
  <c r="I233" i="15"/>
  <c r="H234" i="15"/>
  <c r="I234" i="15"/>
  <c r="H235" i="15"/>
  <c r="I235" i="15"/>
  <c r="H236" i="15"/>
  <c r="I236" i="15"/>
  <c r="H237" i="15"/>
  <c r="I237" i="15"/>
  <c r="H238" i="15"/>
  <c r="I238" i="15"/>
  <c r="H239" i="15"/>
  <c r="I239" i="15"/>
  <c r="H240" i="15"/>
  <c r="I240" i="15"/>
  <c r="H241" i="15"/>
  <c r="I241" i="15"/>
  <c r="H242" i="15"/>
  <c r="I242" i="15"/>
  <c r="H243" i="15"/>
  <c r="I243" i="15"/>
  <c r="H244" i="15"/>
  <c r="I244" i="15"/>
  <c r="H245" i="15"/>
  <c r="I245" i="15"/>
  <c r="H246" i="15"/>
  <c r="I246" i="15"/>
  <c r="H247" i="15"/>
  <c r="I247" i="15"/>
  <c r="H248" i="15"/>
  <c r="I248" i="15"/>
  <c r="H249" i="15"/>
  <c r="I249" i="15"/>
  <c r="H250" i="15"/>
  <c r="I250" i="15"/>
  <c r="H251" i="15"/>
  <c r="I251" i="15"/>
  <c r="H252" i="15"/>
  <c r="I252" i="15"/>
  <c r="H253" i="15"/>
  <c r="I253" i="15"/>
  <c r="H254" i="15"/>
  <c r="I254" i="15"/>
  <c r="H255" i="15"/>
  <c r="I255" i="15"/>
  <c r="H256" i="15"/>
  <c r="I256" i="15"/>
  <c r="H257" i="15"/>
  <c r="I257" i="15"/>
  <c r="H258" i="15"/>
  <c r="I258" i="15"/>
  <c r="H259" i="15"/>
  <c r="I259" i="15"/>
  <c r="H260" i="15"/>
  <c r="I260" i="15"/>
  <c r="H261" i="15"/>
  <c r="I261" i="15"/>
  <c r="H262" i="15"/>
  <c r="I262" i="15"/>
  <c r="H263" i="15"/>
  <c r="I263" i="15"/>
  <c r="H264" i="15"/>
  <c r="I264" i="15"/>
  <c r="H265" i="15"/>
  <c r="I265" i="15"/>
  <c r="H266" i="15"/>
  <c r="I266" i="15"/>
  <c r="H267" i="15"/>
  <c r="I267" i="15"/>
  <c r="H268" i="15"/>
  <c r="I268" i="15"/>
  <c r="H269" i="15"/>
  <c r="I269" i="15"/>
  <c r="H270" i="15"/>
  <c r="I270" i="15"/>
  <c r="H271" i="15"/>
  <c r="I271" i="15"/>
  <c r="H272" i="15"/>
  <c r="I272" i="15"/>
  <c r="H273" i="15"/>
  <c r="I273" i="15"/>
  <c r="H274" i="15"/>
  <c r="I274" i="15"/>
  <c r="H275" i="15"/>
  <c r="I275" i="15"/>
  <c r="H276" i="15"/>
  <c r="I276" i="15"/>
  <c r="H277" i="15"/>
  <c r="I277" i="15"/>
  <c r="H278" i="15"/>
  <c r="I278" i="15"/>
  <c r="H279" i="15"/>
  <c r="I279" i="15"/>
  <c r="H280" i="15"/>
  <c r="I280" i="15"/>
  <c r="H281" i="15"/>
  <c r="I281" i="15"/>
  <c r="H282" i="15"/>
  <c r="I282" i="15"/>
  <c r="H283" i="15"/>
  <c r="I283" i="15"/>
  <c r="H284" i="15"/>
  <c r="I284" i="15"/>
  <c r="H285" i="15"/>
  <c r="I285" i="15"/>
  <c r="H286" i="15"/>
  <c r="I286" i="15"/>
  <c r="H287" i="15"/>
  <c r="I287" i="15"/>
  <c r="H288" i="15"/>
  <c r="I288" i="15"/>
  <c r="I125" i="15"/>
  <c r="H125" i="15"/>
  <c r="H7" i="15"/>
  <c r="I7" i="15"/>
  <c r="H8" i="15"/>
  <c r="I8" i="15"/>
  <c r="H9" i="15"/>
  <c r="I9" i="15"/>
  <c r="H10" i="15"/>
  <c r="I10" i="15"/>
  <c r="H11" i="15"/>
  <c r="I11" i="15"/>
  <c r="H12" i="15"/>
  <c r="I12" i="15"/>
  <c r="H13" i="15"/>
  <c r="I13" i="15"/>
  <c r="H14" i="15"/>
  <c r="I14" i="15"/>
  <c r="H15" i="15"/>
  <c r="I15" i="15"/>
  <c r="H16" i="15"/>
  <c r="I16" i="15"/>
  <c r="H23" i="15"/>
  <c r="I23" i="15"/>
  <c r="H24" i="15"/>
  <c r="I24" i="15"/>
  <c r="H25" i="15"/>
  <c r="I25" i="15"/>
  <c r="H26" i="15"/>
  <c r="I26" i="15"/>
  <c r="H27" i="15"/>
  <c r="I27" i="15"/>
  <c r="H28" i="15"/>
  <c r="I28" i="15"/>
  <c r="H29" i="15"/>
  <c r="I29" i="15"/>
  <c r="H30" i="15"/>
  <c r="I30" i="15"/>
  <c r="H31" i="15"/>
  <c r="I31" i="15"/>
  <c r="H32" i="15"/>
  <c r="I32" i="15"/>
  <c r="H39" i="15"/>
  <c r="I39" i="15"/>
  <c r="H42" i="15"/>
  <c r="I42" i="15"/>
  <c r="H44" i="15"/>
  <c r="I44" i="15"/>
  <c r="H48" i="15"/>
  <c r="I48" i="15"/>
  <c r="H49" i="15"/>
  <c r="I49" i="15"/>
  <c r="H50" i="15"/>
  <c r="I50" i="15"/>
  <c r="H51" i="15"/>
  <c r="I51" i="15"/>
  <c r="H52" i="15"/>
  <c r="I52" i="15"/>
  <c r="H53" i="15"/>
  <c r="I53" i="15"/>
  <c r="H54" i="15"/>
  <c r="I54" i="15"/>
  <c r="H55" i="15"/>
  <c r="I55" i="15"/>
  <c r="H56" i="15"/>
  <c r="I56" i="15"/>
  <c r="H57" i="15"/>
  <c r="I57" i="15"/>
  <c r="H58" i="15"/>
  <c r="I58" i="15"/>
  <c r="H59" i="15"/>
  <c r="I59" i="15"/>
  <c r="H60" i="15"/>
  <c r="I60" i="15"/>
  <c r="H61" i="15"/>
  <c r="I61" i="15"/>
  <c r="H62" i="15"/>
  <c r="I62" i="15"/>
  <c r="H63" i="15"/>
  <c r="I63" i="15"/>
  <c r="H64" i="15"/>
  <c r="I64" i="15"/>
  <c r="H65" i="15"/>
  <c r="I65" i="15"/>
  <c r="H66" i="15"/>
  <c r="I66" i="15"/>
  <c r="H67" i="15"/>
  <c r="I67" i="15"/>
  <c r="H68" i="15"/>
  <c r="I68" i="15"/>
  <c r="H69" i="15"/>
  <c r="I69" i="15"/>
  <c r="H70" i="15"/>
  <c r="I70" i="15"/>
  <c r="H71" i="15"/>
  <c r="I71" i="15"/>
  <c r="H72" i="15"/>
  <c r="I72" i="15"/>
  <c r="H73" i="15"/>
  <c r="I73" i="15"/>
  <c r="H74" i="15"/>
  <c r="I74" i="15"/>
  <c r="H75" i="15"/>
  <c r="I75" i="15"/>
  <c r="H76" i="15"/>
  <c r="I76" i="15"/>
  <c r="H77" i="15"/>
  <c r="I77" i="15"/>
  <c r="H78" i="15"/>
  <c r="I78" i="15"/>
  <c r="H79" i="15"/>
  <c r="I79" i="15"/>
  <c r="H80" i="15"/>
  <c r="I80" i="15"/>
  <c r="H81" i="15"/>
  <c r="I81" i="15"/>
  <c r="H82" i="15"/>
  <c r="I82" i="15"/>
  <c r="H84" i="15"/>
  <c r="I84" i="15"/>
  <c r="H85" i="15"/>
  <c r="I85" i="15"/>
  <c r="H86" i="15"/>
  <c r="I86" i="15"/>
  <c r="H87" i="15"/>
  <c r="I87" i="15"/>
  <c r="H89" i="15"/>
  <c r="I89" i="15"/>
  <c r="H90" i="15"/>
  <c r="I90" i="15"/>
  <c r="H91" i="15"/>
  <c r="I91" i="15"/>
  <c r="H92" i="15"/>
  <c r="I92" i="15"/>
  <c r="H93" i="15"/>
  <c r="I93" i="15"/>
  <c r="H94" i="15"/>
  <c r="I94" i="15"/>
  <c r="H95" i="15"/>
  <c r="I95" i="15"/>
  <c r="H96" i="15"/>
  <c r="I96" i="15"/>
  <c r="H99" i="15"/>
  <c r="I99" i="15"/>
  <c r="H100" i="15"/>
  <c r="I100" i="15"/>
  <c r="H101" i="15"/>
  <c r="I101" i="15"/>
  <c r="H102" i="15"/>
  <c r="I102" i="15"/>
  <c r="H103" i="15"/>
  <c r="I103" i="15"/>
  <c r="H104" i="15"/>
  <c r="I104" i="15"/>
  <c r="H105" i="15"/>
  <c r="I105" i="15"/>
  <c r="H106" i="15"/>
  <c r="I106" i="15"/>
  <c r="H107" i="15"/>
  <c r="I107" i="15"/>
  <c r="H108" i="15"/>
  <c r="I108" i="15"/>
  <c r="H109" i="15"/>
  <c r="I109" i="15"/>
  <c r="H110" i="15"/>
  <c r="I110" i="15"/>
  <c r="H111" i="15"/>
  <c r="I111" i="15"/>
  <c r="H112" i="15"/>
  <c r="I112" i="15"/>
  <c r="H113" i="15"/>
  <c r="I113" i="15"/>
  <c r="H114" i="15"/>
  <c r="I114" i="15"/>
  <c r="H118" i="15"/>
  <c r="I118" i="15"/>
  <c r="H119" i="15"/>
  <c r="I119" i="15"/>
  <c r="H126" i="14"/>
  <c r="I126" i="14"/>
  <c r="H127" i="14"/>
  <c r="I127" i="14"/>
  <c r="H128" i="14"/>
  <c r="I128" i="14"/>
  <c r="H129" i="14"/>
  <c r="I129" i="14"/>
  <c r="H130" i="14"/>
  <c r="I130" i="14"/>
  <c r="H131" i="14"/>
  <c r="I131" i="14"/>
  <c r="H132" i="14"/>
  <c r="I132" i="14"/>
  <c r="H133" i="14"/>
  <c r="I133" i="14"/>
  <c r="H134" i="14"/>
  <c r="I134" i="14"/>
  <c r="H135" i="14"/>
  <c r="I135" i="14"/>
  <c r="H136" i="14"/>
  <c r="I136" i="14"/>
  <c r="H137" i="14"/>
  <c r="I137" i="14"/>
  <c r="H138" i="14"/>
  <c r="I138" i="14"/>
  <c r="H140" i="14"/>
  <c r="I140" i="14"/>
  <c r="H141" i="14"/>
  <c r="I141" i="14"/>
  <c r="H142" i="14"/>
  <c r="I142" i="14"/>
  <c r="H143" i="14"/>
  <c r="I143" i="14"/>
  <c r="H144" i="14"/>
  <c r="I144" i="14"/>
  <c r="H145" i="14"/>
  <c r="I145" i="14"/>
  <c r="H146" i="14"/>
  <c r="I146" i="14"/>
  <c r="H147" i="14"/>
  <c r="I147" i="14"/>
  <c r="H148" i="14"/>
  <c r="I148" i="14"/>
  <c r="H149" i="14"/>
  <c r="I149" i="14"/>
  <c r="H150" i="14"/>
  <c r="I150" i="14"/>
  <c r="H151" i="14"/>
  <c r="I151" i="14"/>
  <c r="H152" i="14"/>
  <c r="I152" i="14"/>
  <c r="H153" i="14"/>
  <c r="I153" i="14"/>
  <c r="H154" i="14"/>
  <c r="I154" i="14"/>
  <c r="H155" i="14"/>
  <c r="I155" i="14"/>
  <c r="H156" i="14"/>
  <c r="I156" i="14"/>
  <c r="H157" i="14"/>
  <c r="I157" i="14"/>
  <c r="H158" i="14"/>
  <c r="I158" i="14"/>
  <c r="H159" i="14"/>
  <c r="I159" i="14"/>
  <c r="H160" i="14"/>
  <c r="I160" i="14"/>
  <c r="H161" i="14"/>
  <c r="I161" i="14"/>
  <c r="H162" i="14"/>
  <c r="I162" i="14"/>
  <c r="H163" i="14"/>
  <c r="I163" i="14"/>
  <c r="H164" i="14"/>
  <c r="I164" i="14"/>
  <c r="H165" i="14"/>
  <c r="I165" i="14"/>
  <c r="H166" i="14"/>
  <c r="I166" i="14"/>
  <c r="H167" i="14"/>
  <c r="I167" i="14"/>
  <c r="H168" i="14"/>
  <c r="I168" i="14"/>
  <c r="H169" i="14"/>
  <c r="I169" i="14"/>
  <c r="H170" i="14"/>
  <c r="I170" i="14"/>
  <c r="H171" i="14"/>
  <c r="I171" i="14"/>
  <c r="H172" i="14"/>
  <c r="I172" i="14"/>
  <c r="H173" i="14"/>
  <c r="I173" i="14"/>
  <c r="H174" i="14"/>
  <c r="I174" i="14"/>
  <c r="H175" i="14"/>
  <c r="I175" i="14"/>
  <c r="H176" i="14"/>
  <c r="I176" i="14"/>
  <c r="H177" i="14"/>
  <c r="I177" i="14"/>
  <c r="H178" i="14"/>
  <c r="I178" i="14"/>
  <c r="H179" i="14"/>
  <c r="I179" i="14"/>
  <c r="H180" i="14"/>
  <c r="I180" i="14"/>
  <c r="H181" i="14"/>
  <c r="I181" i="14"/>
  <c r="H182" i="14"/>
  <c r="I182" i="14"/>
  <c r="H183" i="14"/>
  <c r="I183" i="14"/>
  <c r="H184" i="14"/>
  <c r="I184" i="14"/>
  <c r="H185" i="14"/>
  <c r="I185" i="14"/>
  <c r="H186" i="14"/>
  <c r="I186" i="14"/>
  <c r="H187" i="14"/>
  <c r="I187" i="14"/>
  <c r="H188" i="14"/>
  <c r="I188" i="14"/>
  <c r="H189" i="14"/>
  <c r="I189" i="14"/>
  <c r="H190" i="14"/>
  <c r="I190" i="14"/>
  <c r="H191" i="14"/>
  <c r="I191" i="14"/>
  <c r="H192" i="14"/>
  <c r="I192" i="14"/>
  <c r="H193" i="14"/>
  <c r="I193" i="14"/>
  <c r="H194" i="14"/>
  <c r="I194" i="14"/>
  <c r="H195" i="14"/>
  <c r="I195" i="14"/>
  <c r="H196" i="14"/>
  <c r="I196" i="14"/>
  <c r="H197" i="14"/>
  <c r="I197" i="14"/>
  <c r="H198" i="14"/>
  <c r="I198" i="14"/>
  <c r="H199" i="14"/>
  <c r="I199" i="14"/>
  <c r="H200" i="14"/>
  <c r="I200" i="14"/>
  <c r="H201" i="14"/>
  <c r="I201" i="14"/>
  <c r="H202" i="14"/>
  <c r="I202" i="14"/>
  <c r="H203" i="14"/>
  <c r="I203" i="14"/>
  <c r="H204" i="14"/>
  <c r="I204" i="14"/>
  <c r="H205" i="14"/>
  <c r="I205" i="14"/>
  <c r="H206" i="14"/>
  <c r="I206" i="14"/>
  <c r="H207" i="14"/>
  <c r="I207" i="14"/>
  <c r="H208" i="14"/>
  <c r="I208" i="14"/>
  <c r="H209" i="14"/>
  <c r="I209" i="14"/>
  <c r="H210" i="14"/>
  <c r="I210" i="14"/>
  <c r="H211" i="14"/>
  <c r="I211" i="14"/>
  <c r="H212" i="14"/>
  <c r="I212" i="14"/>
  <c r="H213" i="14"/>
  <c r="I213" i="14"/>
  <c r="H214" i="14"/>
  <c r="I214" i="14"/>
  <c r="H215" i="14"/>
  <c r="I215" i="14"/>
  <c r="H216" i="14"/>
  <c r="I216" i="14"/>
  <c r="H217" i="14"/>
  <c r="I217" i="14"/>
  <c r="H218" i="14"/>
  <c r="I218" i="14"/>
  <c r="H219" i="14"/>
  <c r="I219" i="14"/>
  <c r="H220" i="14"/>
  <c r="I220" i="14"/>
  <c r="H221" i="14"/>
  <c r="I221" i="14"/>
  <c r="H222" i="14"/>
  <c r="I222" i="14"/>
  <c r="H223" i="14"/>
  <c r="I223" i="14"/>
  <c r="H224" i="14"/>
  <c r="I224" i="14"/>
  <c r="H225" i="14"/>
  <c r="I225" i="14"/>
  <c r="H226" i="14"/>
  <c r="I226" i="14"/>
  <c r="H227" i="14"/>
  <c r="I227" i="14"/>
  <c r="H228" i="14"/>
  <c r="I228" i="14"/>
  <c r="H229" i="14"/>
  <c r="I229" i="14"/>
  <c r="H230" i="14"/>
  <c r="I230" i="14"/>
  <c r="H231" i="14"/>
  <c r="I231" i="14"/>
  <c r="H232" i="14"/>
  <c r="I232" i="14"/>
  <c r="H233" i="14"/>
  <c r="I233" i="14"/>
  <c r="H234" i="14"/>
  <c r="I234" i="14"/>
  <c r="H235" i="14"/>
  <c r="I235" i="14"/>
  <c r="H236" i="14"/>
  <c r="I236" i="14"/>
  <c r="H237" i="14"/>
  <c r="I237" i="14"/>
  <c r="H238" i="14"/>
  <c r="I238" i="14"/>
  <c r="H239" i="14"/>
  <c r="I239" i="14"/>
  <c r="H240" i="14"/>
  <c r="I240" i="14"/>
  <c r="H241" i="14"/>
  <c r="I241" i="14"/>
  <c r="H242" i="14"/>
  <c r="I242" i="14"/>
  <c r="H243" i="14"/>
  <c r="I243" i="14"/>
  <c r="H244" i="14"/>
  <c r="I244" i="14"/>
  <c r="H245" i="14"/>
  <c r="I245" i="14"/>
  <c r="H246" i="14"/>
  <c r="I246" i="14"/>
  <c r="H247" i="14"/>
  <c r="I247" i="14"/>
  <c r="H248" i="14"/>
  <c r="I248" i="14"/>
  <c r="H249" i="14"/>
  <c r="I249" i="14"/>
  <c r="H250" i="14"/>
  <c r="I250" i="14"/>
  <c r="H251" i="14"/>
  <c r="I251" i="14"/>
  <c r="H252" i="14"/>
  <c r="I252" i="14"/>
  <c r="H253" i="14"/>
  <c r="I253" i="14"/>
  <c r="H254" i="14"/>
  <c r="I254" i="14"/>
  <c r="H255" i="14"/>
  <c r="I255" i="14"/>
  <c r="H256" i="14"/>
  <c r="I256" i="14"/>
  <c r="H257" i="14"/>
  <c r="I257" i="14"/>
  <c r="H258" i="14"/>
  <c r="I258" i="14"/>
  <c r="H259" i="14"/>
  <c r="I259" i="14"/>
  <c r="H260" i="14"/>
  <c r="I260" i="14"/>
  <c r="H261" i="14"/>
  <c r="I261" i="14"/>
  <c r="H262" i="14"/>
  <c r="I262" i="14"/>
  <c r="H263" i="14"/>
  <c r="I263" i="14"/>
  <c r="H264" i="14"/>
  <c r="I264" i="14"/>
  <c r="H265" i="14"/>
  <c r="I265" i="14"/>
  <c r="H266" i="14"/>
  <c r="I266" i="14"/>
  <c r="H267" i="14"/>
  <c r="I267" i="14"/>
  <c r="H268" i="14"/>
  <c r="I268" i="14"/>
  <c r="H269" i="14"/>
  <c r="I269" i="14"/>
  <c r="H270" i="14"/>
  <c r="I270" i="14"/>
  <c r="H271" i="14"/>
  <c r="I271" i="14"/>
  <c r="H272" i="14"/>
  <c r="I272" i="14"/>
  <c r="H273" i="14"/>
  <c r="I273" i="14"/>
  <c r="H274" i="14"/>
  <c r="I274" i="14"/>
  <c r="H275" i="14"/>
  <c r="I275" i="14"/>
  <c r="H276" i="14"/>
  <c r="I276" i="14"/>
  <c r="H277" i="14"/>
  <c r="I277" i="14"/>
  <c r="H278" i="14"/>
  <c r="I278" i="14"/>
  <c r="H279" i="14"/>
  <c r="I279" i="14"/>
  <c r="H280" i="14"/>
  <c r="I280" i="14"/>
  <c r="H281" i="14"/>
  <c r="I281" i="14"/>
  <c r="H282" i="14"/>
  <c r="I282" i="14"/>
  <c r="H283" i="14"/>
  <c r="I283" i="14"/>
  <c r="H284" i="14"/>
  <c r="I284" i="14"/>
  <c r="H285" i="14"/>
  <c r="I285" i="14"/>
  <c r="H286" i="14"/>
  <c r="I286" i="14"/>
  <c r="H287" i="14"/>
  <c r="I287" i="14"/>
  <c r="H288" i="14"/>
  <c r="I288" i="14"/>
  <c r="H7" i="14"/>
  <c r="I7" i="14"/>
  <c r="H8" i="14"/>
  <c r="I8" i="14"/>
  <c r="H9" i="14"/>
  <c r="I9" i="14"/>
  <c r="H10" i="14"/>
  <c r="I10" i="14"/>
  <c r="H11" i="14"/>
  <c r="I11" i="14"/>
  <c r="H12" i="14"/>
  <c r="I12" i="14"/>
  <c r="H13" i="14"/>
  <c r="I13" i="14"/>
  <c r="H14" i="14"/>
  <c r="I14" i="14"/>
  <c r="H15" i="14"/>
  <c r="I15" i="14"/>
  <c r="H16" i="14"/>
  <c r="I16" i="14"/>
  <c r="H23" i="14"/>
  <c r="I23" i="14"/>
  <c r="H24" i="14"/>
  <c r="I24" i="14"/>
  <c r="H25" i="14"/>
  <c r="I25" i="14"/>
  <c r="H26" i="14"/>
  <c r="I26" i="14"/>
  <c r="H27" i="14"/>
  <c r="I27" i="14"/>
  <c r="H28" i="14"/>
  <c r="I28" i="14"/>
  <c r="H29" i="14"/>
  <c r="I29" i="14"/>
  <c r="H30" i="14"/>
  <c r="I30" i="14"/>
  <c r="H31" i="14"/>
  <c r="I31" i="14"/>
  <c r="H32" i="14"/>
  <c r="I32" i="14"/>
  <c r="H39" i="14"/>
  <c r="I39" i="14"/>
  <c r="H42" i="14"/>
  <c r="I42" i="14"/>
  <c r="H44" i="14"/>
  <c r="I44" i="14"/>
  <c r="H48" i="14"/>
  <c r="I48" i="14"/>
  <c r="H49" i="14"/>
  <c r="I49" i="14"/>
  <c r="H50" i="14"/>
  <c r="I50" i="14"/>
  <c r="H51" i="14"/>
  <c r="I51" i="14"/>
  <c r="H52" i="14"/>
  <c r="I52" i="14"/>
  <c r="H53" i="14"/>
  <c r="I53" i="14"/>
  <c r="H54" i="14"/>
  <c r="I54" i="14"/>
  <c r="H55" i="14"/>
  <c r="I55" i="14"/>
  <c r="H56" i="14"/>
  <c r="I56" i="14"/>
  <c r="H57" i="14"/>
  <c r="I57" i="14"/>
  <c r="H58" i="14"/>
  <c r="I58" i="14"/>
  <c r="H59" i="14"/>
  <c r="I59" i="14"/>
  <c r="H60" i="14"/>
  <c r="I60" i="14"/>
  <c r="H61" i="14"/>
  <c r="I61" i="14"/>
  <c r="H62" i="14"/>
  <c r="I62" i="14"/>
  <c r="H63" i="14"/>
  <c r="I63" i="14"/>
  <c r="H64" i="14"/>
  <c r="I64" i="14"/>
  <c r="H65" i="14"/>
  <c r="I65" i="14"/>
  <c r="H66" i="14"/>
  <c r="I66" i="14"/>
  <c r="H67" i="14"/>
  <c r="I67" i="14"/>
  <c r="H68" i="14"/>
  <c r="I68" i="14"/>
  <c r="H69" i="14"/>
  <c r="I69" i="14"/>
  <c r="H70" i="14"/>
  <c r="I70" i="14"/>
  <c r="H71" i="14"/>
  <c r="I71" i="14"/>
  <c r="H72" i="14"/>
  <c r="I72" i="14"/>
  <c r="H73" i="14"/>
  <c r="I73" i="14"/>
  <c r="H74" i="14"/>
  <c r="I74" i="14"/>
  <c r="H75" i="14"/>
  <c r="I75" i="14"/>
  <c r="H76" i="14"/>
  <c r="I76" i="14"/>
  <c r="H77" i="14"/>
  <c r="I77" i="14"/>
  <c r="H78" i="14"/>
  <c r="I78" i="14"/>
  <c r="H79" i="14"/>
  <c r="I79" i="14"/>
  <c r="H80" i="14"/>
  <c r="I80" i="14"/>
  <c r="H81" i="14"/>
  <c r="I81" i="14"/>
  <c r="H82" i="14"/>
  <c r="I82" i="14"/>
  <c r="H84" i="14"/>
  <c r="I84" i="14"/>
  <c r="H85" i="14"/>
  <c r="I85" i="14"/>
  <c r="H86" i="14"/>
  <c r="I86" i="14"/>
  <c r="H87" i="14"/>
  <c r="I87" i="14"/>
  <c r="H89" i="14"/>
  <c r="I89" i="14"/>
  <c r="H90" i="14"/>
  <c r="I90" i="14"/>
  <c r="H91" i="14"/>
  <c r="I91" i="14"/>
  <c r="H92" i="14"/>
  <c r="I92" i="14"/>
  <c r="H93" i="14"/>
  <c r="I93" i="14"/>
  <c r="H94" i="14"/>
  <c r="I94" i="14"/>
  <c r="H95" i="14"/>
  <c r="I95" i="14"/>
  <c r="H96" i="14"/>
  <c r="I96" i="14"/>
  <c r="H99" i="14"/>
  <c r="I99" i="14"/>
  <c r="H100" i="14"/>
  <c r="I100" i="14"/>
  <c r="H101" i="14"/>
  <c r="I101" i="14"/>
  <c r="H102" i="14"/>
  <c r="I102" i="14"/>
  <c r="H103" i="14"/>
  <c r="I103" i="14"/>
  <c r="H104" i="14"/>
  <c r="I104" i="14"/>
  <c r="H105" i="14"/>
  <c r="I105" i="14"/>
  <c r="H106" i="14"/>
  <c r="I106" i="14"/>
  <c r="H107" i="14"/>
  <c r="I107" i="14"/>
  <c r="H108" i="14"/>
  <c r="I108" i="14"/>
  <c r="H109" i="14"/>
  <c r="I109" i="14"/>
  <c r="H110" i="14"/>
  <c r="I110" i="14"/>
  <c r="H111" i="14"/>
  <c r="I111" i="14"/>
  <c r="H112" i="14"/>
  <c r="I112" i="14"/>
  <c r="H113" i="14"/>
  <c r="I113" i="14"/>
  <c r="H114" i="14"/>
  <c r="I114" i="14"/>
  <c r="H118" i="14"/>
  <c r="I118" i="14"/>
  <c r="H119" i="14"/>
  <c r="I119" i="14"/>
  <c r="H125" i="14"/>
  <c r="I125" i="14"/>
  <c r="H26" i="13"/>
  <c r="I26" i="13"/>
  <c r="H27" i="13"/>
  <c r="I27" i="13"/>
  <c r="H28" i="13"/>
  <c r="I28" i="13"/>
  <c r="H29" i="13"/>
  <c r="I29" i="13"/>
  <c r="H30" i="13"/>
  <c r="I30" i="13"/>
  <c r="H31" i="13"/>
  <c r="I31" i="13"/>
  <c r="H32" i="13"/>
  <c r="I32" i="13"/>
  <c r="H39" i="13"/>
  <c r="I39" i="13"/>
  <c r="H42" i="13"/>
  <c r="I42" i="13"/>
  <c r="H44" i="13"/>
  <c r="I44" i="13"/>
  <c r="H48" i="13"/>
  <c r="I48" i="13"/>
  <c r="H49" i="13"/>
  <c r="I49" i="13"/>
  <c r="H50" i="13"/>
  <c r="I50" i="13"/>
  <c r="H51" i="13"/>
  <c r="I51" i="13"/>
  <c r="H52" i="13"/>
  <c r="I52" i="13"/>
  <c r="H53" i="13"/>
  <c r="I53" i="13"/>
  <c r="H54" i="13"/>
  <c r="I54" i="13"/>
  <c r="H55" i="13"/>
  <c r="I55" i="13"/>
  <c r="H56" i="13"/>
  <c r="I56" i="13"/>
  <c r="H57" i="13"/>
  <c r="I57" i="13"/>
  <c r="H58" i="13"/>
  <c r="I58" i="13"/>
  <c r="H59" i="13"/>
  <c r="I59" i="13"/>
  <c r="H60" i="13"/>
  <c r="I60" i="13"/>
  <c r="H61" i="13"/>
  <c r="I61" i="13"/>
  <c r="H62" i="13"/>
  <c r="I62" i="13"/>
  <c r="H63" i="13"/>
  <c r="I63" i="13"/>
  <c r="H64" i="13"/>
  <c r="I64" i="13"/>
  <c r="H65" i="13"/>
  <c r="I65" i="13"/>
  <c r="H66" i="13"/>
  <c r="I66" i="13"/>
  <c r="H67" i="13"/>
  <c r="I67" i="13"/>
  <c r="H68" i="13"/>
  <c r="I68" i="13"/>
  <c r="H69" i="13"/>
  <c r="I69" i="13"/>
  <c r="H70" i="13"/>
  <c r="I70" i="13"/>
  <c r="H71" i="13"/>
  <c r="I71" i="13"/>
  <c r="H72" i="13"/>
  <c r="I72" i="13"/>
  <c r="H73" i="13"/>
  <c r="I73" i="13"/>
  <c r="H74" i="13"/>
  <c r="I74" i="13"/>
  <c r="H75" i="13"/>
  <c r="I75" i="13"/>
  <c r="H76" i="13"/>
  <c r="I76" i="13"/>
  <c r="H77" i="13"/>
  <c r="I77" i="13"/>
  <c r="H78" i="13"/>
  <c r="I78" i="13"/>
  <c r="H79" i="13"/>
  <c r="I79" i="13"/>
  <c r="H80" i="13"/>
  <c r="I80" i="13"/>
  <c r="H81" i="13"/>
  <c r="I81" i="13"/>
  <c r="H82" i="13"/>
  <c r="I82" i="13"/>
  <c r="H84" i="13"/>
  <c r="I84" i="13"/>
  <c r="H85" i="13"/>
  <c r="I85" i="13"/>
  <c r="H86" i="13"/>
  <c r="I86" i="13"/>
  <c r="H87" i="13"/>
  <c r="I87" i="13"/>
  <c r="H89" i="13"/>
  <c r="I89" i="13"/>
  <c r="H90" i="13"/>
  <c r="I90" i="13"/>
  <c r="H91" i="13"/>
  <c r="I91" i="13"/>
  <c r="H92" i="13"/>
  <c r="I92" i="13"/>
  <c r="H93" i="13"/>
  <c r="I93" i="13"/>
  <c r="H94" i="13"/>
  <c r="I94" i="13"/>
  <c r="H95" i="13"/>
  <c r="I95" i="13"/>
  <c r="H96" i="13"/>
  <c r="I96" i="13"/>
  <c r="H99" i="13"/>
  <c r="I99" i="13"/>
  <c r="H100" i="13"/>
  <c r="I100" i="13"/>
  <c r="H101" i="13"/>
  <c r="I101" i="13"/>
  <c r="H102" i="13"/>
  <c r="I102" i="13"/>
  <c r="H103" i="13"/>
  <c r="I103" i="13"/>
  <c r="H104" i="13"/>
  <c r="I104" i="13"/>
  <c r="H105" i="13"/>
  <c r="I105" i="13"/>
  <c r="H106" i="13"/>
  <c r="I106" i="13"/>
  <c r="H107" i="13"/>
  <c r="I107" i="13"/>
  <c r="H108" i="13"/>
  <c r="I108" i="13"/>
  <c r="H109" i="13"/>
  <c r="I109" i="13"/>
  <c r="H110" i="13"/>
  <c r="I110" i="13"/>
  <c r="H111" i="13"/>
  <c r="I111" i="13"/>
  <c r="H112" i="13"/>
  <c r="I112" i="13"/>
  <c r="H113" i="13"/>
  <c r="I113" i="13"/>
  <c r="H114" i="13"/>
  <c r="I114" i="13"/>
  <c r="H118" i="13"/>
  <c r="I118" i="13"/>
  <c r="H119" i="13"/>
  <c r="I119" i="13"/>
  <c r="H125" i="13"/>
  <c r="I125" i="13"/>
  <c r="H126" i="13"/>
  <c r="I126" i="13"/>
  <c r="H127" i="13"/>
  <c r="I127" i="13"/>
  <c r="H128" i="13"/>
  <c r="I128" i="13"/>
  <c r="H129" i="13"/>
  <c r="I129" i="13"/>
  <c r="H130" i="13"/>
  <c r="I130" i="13"/>
  <c r="H131" i="13"/>
  <c r="I131" i="13"/>
  <c r="H132" i="13"/>
  <c r="I132" i="13"/>
  <c r="H133" i="13"/>
  <c r="I133" i="13"/>
  <c r="H134" i="13"/>
  <c r="I134" i="13"/>
  <c r="H135" i="13"/>
  <c r="I135" i="13"/>
  <c r="H136" i="13"/>
  <c r="I136" i="13"/>
  <c r="H137" i="13"/>
  <c r="I137" i="13"/>
  <c r="H138" i="13"/>
  <c r="I138" i="13"/>
  <c r="H140" i="13"/>
  <c r="I140" i="13"/>
  <c r="H141" i="13"/>
  <c r="I141" i="13"/>
  <c r="H142" i="13"/>
  <c r="I142" i="13"/>
  <c r="H143" i="13"/>
  <c r="I143" i="13"/>
  <c r="H144" i="13"/>
  <c r="I144" i="13"/>
  <c r="H145" i="13"/>
  <c r="I145" i="13"/>
  <c r="H146" i="13"/>
  <c r="I146" i="13"/>
  <c r="H147" i="13"/>
  <c r="I147" i="13"/>
  <c r="H148" i="13"/>
  <c r="I148" i="13"/>
  <c r="H149" i="13"/>
  <c r="I149" i="13"/>
  <c r="H150" i="13"/>
  <c r="I150" i="13"/>
  <c r="H151" i="13"/>
  <c r="I151" i="13"/>
  <c r="H152" i="13"/>
  <c r="I152" i="13"/>
  <c r="H153" i="13"/>
  <c r="I153" i="13"/>
  <c r="H154" i="13"/>
  <c r="I154" i="13"/>
  <c r="H155" i="13"/>
  <c r="I155" i="13"/>
  <c r="H156" i="13"/>
  <c r="I156" i="13"/>
  <c r="H157" i="13"/>
  <c r="I157" i="13"/>
  <c r="H158" i="13"/>
  <c r="I158" i="13"/>
  <c r="H159" i="13"/>
  <c r="I159" i="13"/>
  <c r="H160" i="13"/>
  <c r="I160" i="13"/>
  <c r="H161" i="13"/>
  <c r="I161" i="13"/>
  <c r="H162" i="13"/>
  <c r="I162" i="13"/>
  <c r="H163" i="13"/>
  <c r="I163" i="13"/>
  <c r="H164" i="13"/>
  <c r="I164" i="13"/>
  <c r="H165" i="13"/>
  <c r="I165" i="13"/>
  <c r="H166" i="13"/>
  <c r="I166" i="13"/>
  <c r="H167" i="13"/>
  <c r="I167" i="13"/>
  <c r="H168" i="13"/>
  <c r="I168" i="13"/>
  <c r="H169" i="13"/>
  <c r="I169" i="13"/>
  <c r="H170" i="13"/>
  <c r="I170" i="13"/>
  <c r="H171" i="13"/>
  <c r="I171" i="13"/>
  <c r="H172" i="13"/>
  <c r="I172" i="13"/>
  <c r="H173" i="13"/>
  <c r="I173" i="13"/>
  <c r="H174" i="13"/>
  <c r="I174" i="13"/>
  <c r="H175" i="13"/>
  <c r="I175" i="13"/>
  <c r="H176" i="13"/>
  <c r="I176" i="13"/>
  <c r="H177" i="13"/>
  <c r="I177" i="13"/>
  <c r="H178" i="13"/>
  <c r="I178" i="13"/>
  <c r="H179" i="13"/>
  <c r="I179" i="13"/>
  <c r="H180" i="13"/>
  <c r="I180" i="13"/>
  <c r="H181" i="13"/>
  <c r="I181" i="13"/>
  <c r="H182" i="13"/>
  <c r="I182" i="13"/>
  <c r="H183" i="13"/>
  <c r="I183" i="13"/>
  <c r="H184" i="13"/>
  <c r="I184" i="13"/>
  <c r="H185" i="13"/>
  <c r="I185" i="13"/>
  <c r="H186" i="13"/>
  <c r="I186" i="13"/>
  <c r="H187" i="13"/>
  <c r="I187" i="13"/>
  <c r="H188" i="13"/>
  <c r="I188" i="13"/>
  <c r="H189" i="13"/>
  <c r="I189" i="13"/>
  <c r="H190" i="13"/>
  <c r="I190" i="13"/>
  <c r="H191" i="13"/>
  <c r="I191" i="13"/>
  <c r="H192" i="13"/>
  <c r="I192" i="13"/>
  <c r="H193" i="13"/>
  <c r="I193" i="13"/>
  <c r="H194" i="13"/>
  <c r="I194" i="13"/>
  <c r="H195" i="13"/>
  <c r="I195" i="13"/>
  <c r="H196" i="13"/>
  <c r="I196" i="13"/>
  <c r="H197" i="13"/>
  <c r="I197" i="13"/>
  <c r="H198" i="13"/>
  <c r="I198" i="13"/>
  <c r="H199" i="13"/>
  <c r="I199" i="13"/>
  <c r="H200" i="13"/>
  <c r="I200" i="13"/>
  <c r="H201" i="13"/>
  <c r="I201" i="13"/>
  <c r="H202" i="13"/>
  <c r="I202" i="13"/>
  <c r="H203" i="13"/>
  <c r="I203" i="13"/>
  <c r="H204" i="13"/>
  <c r="I204" i="13"/>
  <c r="H205" i="13"/>
  <c r="I205" i="13"/>
  <c r="H206" i="13"/>
  <c r="I206" i="13"/>
  <c r="H207" i="13"/>
  <c r="I207" i="13"/>
  <c r="H208" i="13"/>
  <c r="I208" i="13"/>
  <c r="H209" i="13"/>
  <c r="I209" i="13"/>
  <c r="H210" i="13"/>
  <c r="I210" i="13"/>
  <c r="H211" i="13"/>
  <c r="I211" i="13"/>
  <c r="H212" i="13"/>
  <c r="I212" i="13"/>
  <c r="H213" i="13"/>
  <c r="I213" i="13"/>
  <c r="H214" i="13"/>
  <c r="I214" i="13"/>
  <c r="H215" i="13"/>
  <c r="I215" i="13"/>
  <c r="H216" i="13"/>
  <c r="I216" i="13"/>
  <c r="H217" i="13"/>
  <c r="I217" i="13"/>
  <c r="H218" i="13"/>
  <c r="I218" i="13"/>
  <c r="H219" i="13"/>
  <c r="I219" i="13"/>
  <c r="H220" i="13"/>
  <c r="I220" i="13"/>
  <c r="H221" i="13"/>
  <c r="I221" i="13"/>
  <c r="H222" i="13"/>
  <c r="I222" i="13"/>
  <c r="H223" i="13"/>
  <c r="I223" i="13"/>
  <c r="H224" i="13"/>
  <c r="I224" i="13"/>
  <c r="H225" i="13"/>
  <c r="I225" i="13"/>
  <c r="H226" i="13"/>
  <c r="I226" i="13"/>
  <c r="H227" i="13"/>
  <c r="I227" i="13"/>
  <c r="H228" i="13"/>
  <c r="I228" i="13"/>
  <c r="H229" i="13"/>
  <c r="I229" i="13"/>
  <c r="H230" i="13"/>
  <c r="I230" i="13"/>
  <c r="H231" i="13"/>
  <c r="I231" i="13"/>
  <c r="H232" i="13"/>
  <c r="I232" i="13"/>
  <c r="H233" i="13"/>
  <c r="I233" i="13"/>
  <c r="H234" i="13"/>
  <c r="I234" i="13"/>
  <c r="H235" i="13"/>
  <c r="I235" i="13"/>
  <c r="H236" i="13"/>
  <c r="I236" i="13"/>
  <c r="H237" i="13"/>
  <c r="I237" i="13"/>
  <c r="H238" i="13"/>
  <c r="I238" i="13"/>
  <c r="H239" i="13"/>
  <c r="I239" i="13"/>
  <c r="H240" i="13"/>
  <c r="I240" i="13"/>
  <c r="H241" i="13"/>
  <c r="I241" i="13"/>
  <c r="H242" i="13"/>
  <c r="I242" i="13"/>
  <c r="H243" i="13"/>
  <c r="I243" i="13"/>
  <c r="H244" i="13"/>
  <c r="I244" i="13"/>
  <c r="H245" i="13"/>
  <c r="I245" i="13"/>
  <c r="H246" i="13"/>
  <c r="I246" i="13"/>
  <c r="H247" i="13"/>
  <c r="I247" i="13"/>
  <c r="H248" i="13"/>
  <c r="I248" i="13"/>
  <c r="H249" i="13"/>
  <c r="I249" i="13"/>
  <c r="H250" i="13"/>
  <c r="I250" i="13"/>
  <c r="H251" i="13"/>
  <c r="I251" i="13"/>
  <c r="H252" i="13"/>
  <c r="I252" i="13"/>
  <c r="H253" i="13"/>
  <c r="I253" i="13"/>
  <c r="H254" i="13"/>
  <c r="I254" i="13"/>
  <c r="H255" i="13"/>
  <c r="I255" i="13"/>
  <c r="H256" i="13"/>
  <c r="I256" i="13"/>
  <c r="H257" i="13"/>
  <c r="I257" i="13"/>
  <c r="H258" i="13"/>
  <c r="I258" i="13"/>
  <c r="H259" i="13"/>
  <c r="I259" i="13"/>
  <c r="H260" i="13"/>
  <c r="I260" i="13"/>
  <c r="H261" i="13"/>
  <c r="I261" i="13"/>
  <c r="H262" i="13"/>
  <c r="I262" i="13"/>
  <c r="H263" i="13"/>
  <c r="I263" i="13"/>
  <c r="H264" i="13"/>
  <c r="I264" i="13"/>
  <c r="H265" i="13"/>
  <c r="I265" i="13"/>
  <c r="H266" i="13"/>
  <c r="I266" i="13"/>
  <c r="H267" i="13"/>
  <c r="I267" i="13"/>
  <c r="H268" i="13"/>
  <c r="I268" i="13"/>
  <c r="H269" i="13"/>
  <c r="I269" i="13"/>
  <c r="H270" i="13"/>
  <c r="I270" i="13"/>
  <c r="H271" i="13"/>
  <c r="I271" i="13"/>
  <c r="H272" i="13"/>
  <c r="I272" i="13"/>
  <c r="H273" i="13"/>
  <c r="I273" i="13"/>
  <c r="H274" i="13"/>
  <c r="I274" i="13"/>
  <c r="H275" i="13"/>
  <c r="I275" i="13"/>
  <c r="H276" i="13"/>
  <c r="I276" i="13"/>
  <c r="H277" i="13"/>
  <c r="I277" i="13"/>
  <c r="H278" i="13"/>
  <c r="I278" i="13"/>
  <c r="H279" i="13"/>
  <c r="I279" i="13"/>
  <c r="H280" i="13"/>
  <c r="I280" i="13"/>
  <c r="H281" i="13"/>
  <c r="I281" i="13"/>
  <c r="H282" i="13"/>
  <c r="I282" i="13"/>
  <c r="H283" i="13"/>
  <c r="I283" i="13"/>
  <c r="H284" i="13"/>
  <c r="I284" i="13"/>
  <c r="H285" i="13"/>
  <c r="I285" i="13"/>
  <c r="H286" i="13"/>
  <c r="I286" i="13"/>
  <c r="H287" i="13"/>
  <c r="I287" i="13"/>
  <c r="H288" i="13"/>
  <c r="I288" i="13"/>
  <c r="H7" i="13"/>
  <c r="I7" i="13"/>
  <c r="H8" i="13"/>
  <c r="I8" i="13"/>
  <c r="H9" i="13"/>
  <c r="I9" i="13"/>
  <c r="H10" i="13"/>
  <c r="I10" i="13"/>
  <c r="H11" i="13"/>
  <c r="I11" i="13"/>
  <c r="H12" i="13"/>
  <c r="I12" i="13"/>
  <c r="H13" i="13"/>
  <c r="I13" i="13"/>
  <c r="H14" i="13"/>
  <c r="I14" i="13"/>
  <c r="H15" i="13"/>
  <c r="I15" i="13"/>
  <c r="H16" i="13"/>
  <c r="I16" i="13"/>
  <c r="H23" i="13"/>
  <c r="I23" i="13"/>
  <c r="H24" i="13"/>
  <c r="I24" i="13"/>
  <c r="H25" i="13"/>
  <c r="I25" i="13"/>
  <c r="H7" i="12"/>
  <c r="I7" i="12"/>
  <c r="H8" i="12"/>
  <c r="I8" i="12"/>
  <c r="H9" i="12"/>
  <c r="I9" i="12"/>
  <c r="H10" i="12"/>
  <c r="I10" i="12"/>
  <c r="H11" i="12"/>
  <c r="I11" i="12"/>
  <c r="H12" i="12"/>
  <c r="I12" i="12"/>
  <c r="H13" i="12"/>
  <c r="I13" i="12"/>
  <c r="H14" i="12"/>
  <c r="I14" i="12"/>
  <c r="H15" i="12"/>
  <c r="I15" i="12"/>
  <c r="H16" i="12"/>
  <c r="I16" i="12"/>
  <c r="H23" i="12"/>
  <c r="I23" i="12"/>
  <c r="H24" i="12"/>
  <c r="I24" i="12"/>
  <c r="H25" i="12"/>
  <c r="I25" i="12"/>
  <c r="H26" i="12"/>
  <c r="I26" i="12"/>
  <c r="H27" i="12"/>
  <c r="I27" i="12"/>
  <c r="H28" i="12"/>
  <c r="I28" i="12"/>
  <c r="H29" i="12"/>
  <c r="I29" i="12"/>
  <c r="H30" i="12"/>
  <c r="I30" i="12"/>
  <c r="H31" i="12"/>
  <c r="I31" i="12"/>
  <c r="H32" i="12"/>
  <c r="I32" i="12"/>
  <c r="H39" i="12"/>
  <c r="I39" i="12"/>
  <c r="H42" i="12"/>
  <c r="I42" i="12"/>
  <c r="H44" i="12"/>
  <c r="I44" i="12"/>
  <c r="H48" i="12"/>
  <c r="I48" i="12"/>
  <c r="H49" i="12"/>
  <c r="I49" i="12"/>
  <c r="H50" i="12"/>
  <c r="I50" i="12"/>
  <c r="H51" i="12"/>
  <c r="I51" i="12"/>
  <c r="H52" i="12"/>
  <c r="I52" i="12"/>
  <c r="H53" i="12"/>
  <c r="I53" i="12"/>
  <c r="H54" i="12"/>
  <c r="I54" i="12"/>
  <c r="H55" i="12"/>
  <c r="I55" i="12"/>
  <c r="H56" i="12"/>
  <c r="I56" i="12"/>
  <c r="H57" i="12"/>
  <c r="I57" i="12"/>
  <c r="H58" i="12"/>
  <c r="I58" i="12"/>
  <c r="H59" i="12"/>
  <c r="I59" i="12"/>
  <c r="H60" i="12"/>
  <c r="I60" i="12"/>
  <c r="H61" i="12"/>
  <c r="I61" i="12"/>
  <c r="H62" i="12"/>
  <c r="I62" i="12"/>
  <c r="H63" i="12"/>
  <c r="I63" i="12"/>
  <c r="H64" i="12"/>
  <c r="I64" i="12"/>
  <c r="H65" i="12"/>
  <c r="I65" i="12"/>
  <c r="H66" i="12"/>
  <c r="I66" i="12"/>
  <c r="H67" i="12"/>
  <c r="I67" i="12"/>
  <c r="H68" i="12"/>
  <c r="I68" i="12"/>
  <c r="H69" i="12"/>
  <c r="I69" i="12"/>
  <c r="H70" i="12"/>
  <c r="I70" i="12"/>
  <c r="H71" i="12"/>
  <c r="I71" i="12"/>
  <c r="H72" i="12"/>
  <c r="I72" i="12"/>
  <c r="H73" i="12"/>
  <c r="I73" i="12"/>
  <c r="H74" i="12"/>
  <c r="I74" i="12"/>
  <c r="H75" i="12"/>
  <c r="I75" i="12"/>
  <c r="H76" i="12"/>
  <c r="I76" i="12"/>
  <c r="H77" i="12"/>
  <c r="I77" i="12"/>
  <c r="H78" i="12"/>
  <c r="I78" i="12"/>
  <c r="H79" i="12"/>
  <c r="I79" i="12"/>
  <c r="H80" i="12"/>
  <c r="I80" i="12"/>
  <c r="H81" i="12"/>
  <c r="I81" i="12"/>
  <c r="H82" i="12"/>
  <c r="I82" i="12"/>
  <c r="H84" i="12"/>
  <c r="I84" i="12"/>
  <c r="H85" i="12"/>
  <c r="I85" i="12"/>
  <c r="H86" i="12"/>
  <c r="I86" i="12"/>
  <c r="H87" i="12"/>
  <c r="I87" i="12"/>
  <c r="H89" i="12"/>
  <c r="I89" i="12"/>
  <c r="H90" i="12"/>
  <c r="I90" i="12"/>
  <c r="H91" i="12"/>
  <c r="I91" i="12"/>
  <c r="H92" i="12"/>
  <c r="I92" i="12"/>
  <c r="H93" i="12"/>
  <c r="I93" i="12"/>
  <c r="H94" i="12"/>
  <c r="I94" i="12"/>
  <c r="H95" i="12"/>
  <c r="I95" i="12"/>
  <c r="H96" i="12"/>
  <c r="I96" i="12"/>
  <c r="H99" i="12"/>
  <c r="I99" i="12"/>
  <c r="H100" i="12"/>
  <c r="I100" i="12"/>
  <c r="H101" i="12"/>
  <c r="I101" i="12"/>
  <c r="H102" i="12"/>
  <c r="I102" i="12"/>
  <c r="H103" i="12"/>
  <c r="I103" i="12"/>
  <c r="H104" i="12"/>
  <c r="I104" i="12"/>
  <c r="H105" i="12"/>
  <c r="I105" i="12"/>
  <c r="H106" i="12"/>
  <c r="I106" i="12"/>
  <c r="H107" i="12"/>
  <c r="I107" i="12"/>
  <c r="H108" i="12"/>
  <c r="I108" i="12"/>
  <c r="H109" i="12"/>
  <c r="I109" i="12"/>
  <c r="H110" i="12"/>
  <c r="I110" i="12"/>
  <c r="H111" i="12"/>
  <c r="I111" i="12"/>
  <c r="H112" i="12"/>
  <c r="I112" i="12"/>
  <c r="H113" i="12"/>
  <c r="I113" i="12"/>
  <c r="H114" i="12"/>
  <c r="I114" i="12"/>
  <c r="H118" i="12"/>
  <c r="I118" i="12"/>
  <c r="H119" i="12"/>
  <c r="I119" i="12"/>
  <c r="H125" i="12"/>
  <c r="I125" i="12"/>
  <c r="H126" i="12"/>
  <c r="I126" i="12"/>
  <c r="H127" i="12"/>
  <c r="I127" i="12"/>
  <c r="H128" i="12"/>
  <c r="I128" i="12"/>
  <c r="H129" i="12"/>
  <c r="I129" i="12"/>
  <c r="H130" i="12"/>
  <c r="I130" i="12"/>
  <c r="H131" i="12"/>
  <c r="I131" i="12"/>
  <c r="H132" i="12"/>
  <c r="I132" i="12"/>
  <c r="H133" i="12"/>
  <c r="I133" i="12"/>
  <c r="H134" i="12"/>
  <c r="I134" i="12"/>
  <c r="H135" i="12"/>
  <c r="I135" i="12"/>
  <c r="H136" i="12"/>
  <c r="I136" i="12"/>
  <c r="H137" i="12"/>
  <c r="I137" i="12"/>
  <c r="H138" i="12"/>
  <c r="I138" i="12"/>
  <c r="H140" i="12"/>
  <c r="I140" i="12"/>
  <c r="H141" i="12"/>
  <c r="I141" i="12"/>
  <c r="H142" i="12"/>
  <c r="I142" i="12"/>
  <c r="H143" i="12"/>
  <c r="I143" i="12"/>
  <c r="H144" i="12"/>
  <c r="I144" i="12"/>
  <c r="H145" i="12"/>
  <c r="I145" i="12"/>
  <c r="H146" i="12"/>
  <c r="I146" i="12"/>
  <c r="H147" i="12"/>
  <c r="I147" i="12"/>
  <c r="H148" i="12"/>
  <c r="I148" i="12"/>
  <c r="H149" i="12"/>
  <c r="I149" i="12"/>
  <c r="H150" i="12"/>
  <c r="I150" i="12"/>
  <c r="H151" i="12"/>
  <c r="I151" i="12"/>
  <c r="H152" i="12"/>
  <c r="I152" i="12"/>
  <c r="H153" i="12"/>
  <c r="I153" i="12"/>
  <c r="H154" i="12"/>
  <c r="I154" i="12"/>
  <c r="H155" i="12"/>
  <c r="I155" i="12"/>
  <c r="H156" i="12"/>
  <c r="I156" i="12"/>
  <c r="H157" i="12"/>
  <c r="I157" i="12"/>
  <c r="H158" i="12"/>
  <c r="I158" i="12"/>
  <c r="H159" i="12"/>
  <c r="I159" i="12"/>
  <c r="H160" i="12"/>
  <c r="I160" i="12"/>
  <c r="H161" i="12"/>
  <c r="I161" i="12"/>
  <c r="H162" i="12"/>
  <c r="I162" i="12"/>
  <c r="H163" i="12"/>
  <c r="I163" i="12"/>
  <c r="H164" i="12"/>
  <c r="I164" i="12"/>
  <c r="H165" i="12"/>
  <c r="I165" i="12"/>
  <c r="H166" i="12"/>
  <c r="I166" i="12"/>
  <c r="H167" i="12"/>
  <c r="I167" i="12"/>
  <c r="H168" i="12"/>
  <c r="I168" i="12"/>
  <c r="H169" i="12"/>
  <c r="I169" i="12"/>
  <c r="H170" i="12"/>
  <c r="I170" i="12"/>
  <c r="H171" i="12"/>
  <c r="I171" i="12"/>
  <c r="H172" i="12"/>
  <c r="I172" i="12"/>
  <c r="H173" i="12"/>
  <c r="I173" i="12"/>
  <c r="H174" i="12"/>
  <c r="I174" i="12"/>
  <c r="H175" i="12"/>
  <c r="I175" i="12"/>
  <c r="H176" i="12"/>
  <c r="I176" i="12"/>
  <c r="H177" i="12"/>
  <c r="I177" i="12"/>
  <c r="H178" i="12"/>
  <c r="I178" i="12"/>
  <c r="H179" i="12"/>
  <c r="I179" i="12"/>
  <c r="H180" i="12"/>
  <c r="I180" i="12"/>
  <c r="H181" i="12"/>
  <c r="I181" i="12"/>
  <c r="H182" i="12"/>
  <c r="I182" i="12"/>
  <c r="H183" i="12"/>
  <c r="I183" i="12"/>
  <c r="H184" i="12"/>
  <c r="I184" i="12"/>
  <c r="H185" i="12"/>
  <c r="I185" i="12"/>
  <c r="H186" i="12"/>
  <c r="I186" i="12"/>
  <c r="H187" i="12"/>
  <c r="I187" i="12"/>
  <c r="H188" i="12"/>
  <c r="I188" i="12"/>
  <c r="H189" i="12"/>
  <c r="I189" i="12"/>
  <c r="H190" i="12"/>
  <c r="I190" i="12"/>
  <c r="H191" i="12"/>
  <c r="I191" i="12"/>
  <c r="H192" i="12"/>
  <c r="I192" i="12"/>
  <c r="H193" i="12"/>
  <c r="I193" i="12"/>
  <c r="H194" i="12"/>
  <c r="I194" i="12"/>
  <c r="H195" i="12"/>
  <c r="I195" i="12"/>
  <c r="H196" i="12"/>
  <c r="I196" i="12"/>
  <c r="H197" i="12"/>
  <c r="I197" i="12"/>
  <c r="H198" i="12"/>
  <c r="I198" i="12"/>
  <c r="H199" i="12"/>
  <c r="I199" i="12"/>
  <c r="H200" i="12"/>
  <c r="I200" i="12"/>
  <c r="H201" i="12"/>
  <c r="I201" i="12"/>
  <c r="H202" i="12"/>
  <c r="I202" i="12"/>
  <c r="H203" i="12"/>
  <c r="I203" i="12"/>
  <c r="H204" i="12"/>
  <c r="I204" i="12"/>
  <c r="H205" i="12"/>
  <c r="I205" i="12"/>
  <c r="H206" i="12"/>
  <c r="I206" i="12"/>
  <c r="H207" i="12"/>
  <c r="I207" i="12"/>
  <c r="H208" i="12"/>
  <c r="I208" i="12"/>
  <c r="H209" i="12"/>
  <c r="I209" i="12"/>
  <c r="H210" i="12"/>
  <c r="I210" i="12"/>
  <c r="H211" i="12"/>
  <c r="I211" i="12"/>
  <c r="H212" i="12"/>
  <c r="I212" i="12"/>
  <c r="H213" i="12"/>
  <c r="I213" i="12"/>
  <c r="H214" i="12"/>
  <c r="I214" i="12"/>
  <c r="H215" i="12"/>
  <c r="I215" i="12"/>
  <c r="H216" i="12"/>
  <c r="I216" i="12"/>
  <c r="H217" i="12"/>
  <c r="I217" i="12"/>
  <c r="H218" i="12"/>
  <c r="I218" i="12"/>
  <c r="H219" i="12"/>
  <c r="I219" i="12"/>
  <c r="H220" i="12"/>
  <c r="I220" i="12"/>
  <c r="H221" i="12"/>
  <c r="I221" i="12"/>
  <c r="H222" i="12"/>
  <c r="I222" i="12"/>
  <c r="H223" i="12"/>
  <c r="I223" i="12"/>
  <c r="H224" i="12"/>
  <c r="I224" i="12"/>
  <c r="H225" i="12"/>
  <c r="I225" i="12"/>
  <c r="H226" i="12"/>
  <c r="I226" i="12"/>
  <c r="H227" i="12"/>
  <c r="I227" i="12"/>
  <c r="H228" i="12"/>
  <c r="I228" i="12"/>
  <c r="H229" i="12"/>
  <c r="I229" i="12"/>
  <c r="H230" i="12"/>
  <c r="I230" i="12"/>
  <c r="H231" i="12"/>
  <c r="I231" i="12"/>
  <c r="H232" i="12"/>
  <c r="I232" i="12"/>
  <c r="H233" i="12"/>
  <c r="I233" i="12"/>
  <c r="H234" i="12"/>
  <c r="I234" i="12"/>
  <c r="H235" i="12"/>
  <c r="I235" i="12"/>
  <c r="H236" i="12"/>
  <c r="I236" i="12"/>
  <c r="H237" i="12"/>
  <c r="I237" i="12"/>
  <c r="H238" i="12"/>
  <c r="I238" i="12"/>
  <c r="H239" i="12"/>
  <c r="I239" i="12"/>
  <c r="H240" i="12"/>
  <c r="I240" i="12"/>
  <c r="H241" i="12"/>
  <c r="I241" i="12"/>
  <c r="H242" i="12"/>
  <c r="I242" i="12"/>
  <c r="H243" i="12"/>
  <c r="I243" i="12"/>
  <c r="H244" i="12"/>
  <c r="I244" i="12"/>
  <c r="H245" i="12"/>
  <c r="I245" i="12"/>
  <c r="H246" i="12"/>
  <c r="I246" i="12"/>
  <c r="H247" i="12"/>
  <c r="I247" i="12"/>
  <c r="H248" i="12"/>
  <c r="I248" i="12"/>
  <c r="H249" i="12"/>
  <c r="I249" i="12"/>
  <c r="H250" i="12"/>
  <c r="I250" i="12"/>
  <c r="H251" i="12"/>
  <c r="I251" i="12"/>
  <c r="H252" i="12"/>
  <c r="I252" i="12"/>
  <c r="H253" i="12"/>
  <c r="I253" i="12"/>
  <c r="H254" i="12"/>
  <c r="I254" i="12"/>
  <c r="H255" i="12"/>
  <c r="I255" i="12"/>
  <c r="H256" i="12"/>
  <c r="I256" i="12"/>
  <c r="H257" i="12"/>
  <c r="I257" i="12"/>
  <c r="H258" i="12"/>
  <c r="I258" i="12"/>
  <c r="H259" i="12"/>
  <c r="I259" i="12"/>
  <c r="H260" i="12"/>
  <c r="I260" i="12"/>
  <c r="H261" i="12"/>
  <c r="I261" i="12"/>
  <c r="H262" i="12"/>
  <c r="I262" i="12"/>
  <c r="H263" i="12"/>
  <c r="I263" i="12"/>
  <c r="H264" i="12"/>
  <c r="I264" i="12"/>
  <c r="H265" i="12"/>
  <c r="I265" i="12"/>
  <c r="H266" i="12"/>
  <c r="I266" i="12"/>
  <c r="H267" i="12"/>
  <c r="I267" i="12"/>
  <c r="H268" i="12"/>
  <c r="I268" i="12"/>
  <c r="H269" i="12"/>
  <c r="I269" i="12"/>
  <c r="H270" i="12"/>
  <c r="I270" i="12"/>
  <c r="H271" i="12"/>
  <c r="I271" i="12"/>
  <c r="H272" i="12"/>
  <c r="I272" i="12"/>
  <c r="H273" i="12"/>
  <c r="I273" i="12"/>
  <c r="H274" i="12"/>
  <c r="I274" i="12"/>
  <c r="H275" i="12"/>
  <c r="I275" i="12"/>
  <c r="H276" i="12"/>
  <c r="I276" i="12"/>
  <c r="H277" i="12"/>
  <c r="I277" i="12"/>
  <c r="H278" i="12"/>
  <c r="I278" i="12"/>
  <c r="H279" i="12"/>
  <c r="I279" i="12"/>
  <c r="H280" i="12"/>
  <c r="I280" i="12"/>
  <c r="H281" i="12"/>
  <c r="I281" i="12"/>
  <c r="H282" i="12"/>
  <c r="I282" i="12"/>
  <c r="H283" i="12"/>
  <c r="I283" i="12"/>
  <c r="H284" i="12"/>
  <c r="I284" i="12"/>
  <c r="H285" i="12"/>
  <c r="I285" i="12"/>
  <c r="H286" i="12"/>
  <c r="I286" i="12"/>
  <c r="H287" i="12"/>
  <c r="I287" i="12"/>
  <c r="H288" i="12"/>
  <c r="I288" i="12"/>
  <c r="H126" i="35"/>
  <c r="I126" i="35"/>
  <c r="H127" i="35"/>
  <c r="I127" i="35"/>
  <c r="H128" i="35"/>
  <c r="I128" i="35"/>
  <c r="H129" i="35"/>
  <c r="I129" i="35"/>
  <c r="H130" i="35"/>
  <c r="I130" i="35"/>
  <c r="H131" i="35"/>
  <c r="I131" i="35"/>
  <c r="H132" i="35"/>
  <c r="I132" i="35"/>
  <c r="H133" i="35"/>
  <c r="I133" i="35"/>
  <c r="H134" i="35"/>
  <c r="I134" i="35"/>
  <c r="H135" i="35"/>
  <c r="I135" i="35"/>
  <c r="H136" i="35"/>
  <c r="I136" i="35"/>
  <c r="H137" i="35"/>
  <c r="I137" i="35"/>
  <c r="H138" i="35"/>
  <c r="I138" i="35"/>
  <c r="H140" i="35"/>
  <c r="I140" i="35"/>
  <c r="H141" i="35"/>
  <c r="I141" i="35"/>
  <c r="H142" i="35"/>
  <c r="I142" i="35"/>
  <c r="H143" i="35"/>
  <c r="I143" i="35"/>
  <c r="H144" i="35"/>
  <c r="I144" i="35"/>
  <c r="H145" i="35"/>
  <c r="I145" i="35"/>
  <c r="H146" i="35"/>
  <c r="I146" i="35"/>
  <c r="H147" i="35"/>
  <c r="I147" i="35"/>
  <c r="H148" i="35"/>
  <c r="I148" i="35"/>
  <c r="H149" i="35"/>
  <c r="I149" i="35"/>
  <c r="H150" i="35"/>
  <c r="I150" i="35"/>
  <c r="H151" i="35"/>
  <c r="I151" i="35"/>
  <c r="H152" i="35"/>
  <c r="I152" i="35"/>
  <c r="H153" i="35"/>
  <c r="I153" i="35"/>
  <c r="H154" i="35"/>
  <c r="I154" i="35"/>
  <c r="H155" i="35"/>
  <c r="I155" i="35"/>
  <c r="H156" i="35"/>
  <c r="I156" i="35"/>
  <c r="H157" i="35"/>
  <c r="I157" i="35"/>
  <c r="H158" i="35"/>
  <c r="I158" i="35"/>
  <c r="H159" i="35"/>
  <c r="I159" i="35"/>
  <c r="H160" i="35"/>
  <c r="I160" i="35"/>
  <c r="H161" i="35"/>
  <c r="I161" i="35"/>
  <c r="H162" i="35"/>
  <c r="I162" i="35"/>
  <c r="H163" i="35"/>
  <c r="I163" i="35"/>
  <c r="H164" i="35"/>
  <c r="I164" i="35"/>
  <c r="H165" i="35"/>
  <c r="I165" i="35"/>
  <c r="H166" i="35"/>
  <c r="I166" i="35"/>
  <c r="H167" i="35"/>
  <c r="I167" i="35"/>
  <c r="H168" i="35"/>
  <c r="I168" i="35"/>
  <c r="H169" i="35"/>
  <c r="I169" i="35"/>
  <c r="H170" i="35"/>
  <c r="I170" i="35"/>
  <c r="H171" i="35"/>
  <c r="I171" i="35"/>
  <c r="H172" i="35"/>
  <c r="I172" i="35"/>
  <c r="H173" i="35"/>
  <c r="I173" i="35"/>
  <c r="H174" i="35"/>
  <c r="I174" i="35"/>
  <c r="H175" i="35"/>
  <c r="I175" i="35"/>
  <c r="H176" i="35"/>
  <c r="I176" i="35"/>
  <c r="H177" i="35"/>
  <c r="I177" i="35"/>
  <c r="H178" i="35"/>
  <c r="I178" i="35"/>
  <c r="H179" i="35"/>
  <c r="I179" i="35"/>
  <c r="H180" i="35"/>
  <c r="I180" i="35"/>
  <c r="H181" i="35"/>
  <c r="I181" i="35"/>
  <c r="H182" i="35"/>
  <c r="I182" i="35"/>
  <c r="H183" i="35"/>
  <c r="I183" i="35"/>
  <c r="H184" i="35"/>
  <c r="I184" i="35"/>
  <c r="H185" i="35"/>
  <c r="I185" i="35"/>
  <c r="H186" i="35"/>
  <c r="I186" i="35"/>
  <c r="H187" i="35"/>
  <c r="I187" i="35"/>
  <c r="H188" i="35"/>
  <c r="I188" i="35"/>
  <c r="H189" i="35"/>
  <c r="I189" i="35"/>
  <c r="H190" i="35"/>
  <c r="I190" i="35"/>
  <c r="H191" i="35"/>
  <c r="I191" i="35"/>
  <c r="H192" i="35"/>
  <c r="I192" i="35"/>
  <c r="H193" i="35"/>
  <c r="I193" i="35"/>
  <c r="H194" i="35"/>
  <c r="I194" i="35"/>
  <c r="H195" i="35"/>
  <c r="I195" i="35"/>
  <c r="H196" i="35"/>
  <c r="I196" i="35"/>
  <c r="H197" i="35"/>
  <c r="I197" i="35"/>
  <c r="H198" i="35"/>
  <c r="I198" i="35"/>
  <c r="H199" i="35"/>
  <c r="I199" i="35"/>
  <c r="H200" i="35"/>
  <c r="I200" i="35"/>
  <c r="H201" i="35"/>
  <c r="I201" i="35"/>
  <c r="H202" i="35"/>
  <c r="I202" i="35"/>
  <c r="H203" i="35"/>
  <c r="I203" i="35"/>
  <c r="H204" i="35"/>
  <c r="I204" i="35"/>
  <c r="H205" i="35"/>
  <c r="I205" i="35"/>
  <c r="H206" i="35"/>
  <c r="I206" i="35"/>
  <c r="H207" i="35"/>
  <c r="I207" i="35"/>
  <c r="H208" i="35"/>
  <c r="I208" i="35"/>
  <c r="H209" i="35"/>
  <c r="I209" i="35"/>
  <c r="H210" i="35"/>
  <c r="I210" i="35"/>
  <c r="H211" i="35"/>
  <c r="I211" i="35"/>
  <c r="H212" i="35"/>
  <c r="I212" i="35"/>
  <c r="H213" i="35"/>
  <c r="I213" i="35"/>
  <c r="H214" i="35"/>
  <c r="I214" i="35"/>
  <c r="H215" i="35"/>
  <c r="I215" i="35"/>
  <c r="H216" i="35"/>
  <c r="I216" i="35"/>
  <c r="H217" i="35"/>
  <c r="I217" i="35"/>
  <c r="H218" i="35"/>
  <c r="I218" i="35"/>
  <c r="H219" i="35"/>
  <c r="I219" i="35"/>
  <c r="H220" i="35"/>
  <c r="I220" i="35"/>
  <c r="H221" i="35"/>
  <c r="I221" i="35"/>
  <c r="H222" i="35"/>
  <c r="I222" i="35"/>
  <c r="H223" i="35"/>
  <c r="I223" i="35"/>
  <c r="H224" i="35"/>
  <c r="I224" i="35"/>
  <c r="H225" i="35"/>
  <c r="I225" i="35"/>
  <c r="H226" i="35"/>
  <c r="I226" i="35"/>
  <c r="H227" i="35"/>
  <c r="I227" i="35"/>
  <c r="H228" i="35"/>
  <c r="I228" i="35"/>
  <c r="H229" i="35"/>
  <c r="I229" i="35"/>
  <c r="H230" i="35"/>
  <c r="I230" i="35"/>
  <c r="H231" i="35"/>
  <c r="I231" i="35"/>
  <c r="H232" i="35"/>
  <c r="I232" i="35"/>
  <c r="H233" i="35"/>
  <c r="I233" i="35"/>
  <c r="H234" i="35"/>
  <c r="I234" i="35"/>
  <c r="H235" i="35"/>
  <c r="I235" i="35"/>
  <c r="H236" i="35"/>
  <c r="I236" i="35"/>
  <c r="H237" i="35"/>
  <c r="I237" i="35"/>
  <c r="H238" i="35"/>
  <c r="I238" i="35"/>
  <c r="H239" i="35"/>
  <c r="I239" i="35"/>
  <c r="H240" i="35"/>
  <c r="I240" i="35"/>
  <c r="H241" i="35"/>
  <c r="I241" i="35"/>
  <c r="H242" i="35"/>
  <c r="I242" i="35"/>
  <c r="H243" i="35"/>
  <c r="I243" i="35"/>
  <c r="H244" i="35"/>
  <c r="I244" i="35"/>
  <c r="H245" i="35"/>
  <c r="I245" i="35"/>
  <c r="H246" i="35"/>
  <c r="I246" i="35"/>
  <c r="H247" i="35"/>
  <c r="I247" i="35"/>
  <c r="H248" i="35"/>
  <c r="I248" i="35"/>
  <c r="H249" i="35"/>
  <c r="I249" i="35"/>
  <c r="H250" i="35"/>
  <c r="I250" i="35"/>
  <c r="H251" i="35"/>
  <c r="I251" i="35"/>
  <c r="H252" i="35"/>
  <c r="I252" i="35"/>
  <c r="H253" i="35"/>
  <c r="I253" i="35"/>
  <c r="H254" i="35"/>
  <c r="I254" i="35"/>
  <c r="H255" i="35"/>
  <c r="I255" i="35"/>
  <c r="H256" i="35"/>
  <c r="I256" i="35"/>
  <c r="H257" i="35"/>
  <c r="I257" i="35"/>
  <c r="H258" i="35"/>
  <c r="I258" i="35"/>
  <c r="H259" i="35"/>
  <c r="I259" i="35"/>
  <c r="H260" i="35"/>
  <c r="I260" i="35"/>
  <c r="H261" i="35"/>
  <c r="I261" i="35"/>
  <c r="H262" i="35"/>
  <c r="I262" i="35"/>
  <c r="H263" i="35"/>
  <c r="I263" i="35"/>
  <c r="H264" i="35"/>
  <c r="I264" i="35"/>
  <c r="H265" i="35"/>
  <c r="I265" i="35"/>
  <c r="H266" i="35"/>
  <c r="I266" i="35"/>
  <c r="H267" i="35"/>
  <c r="I267" i="35"/>
  <c r="H268" i="35"/>
  <c r="I268" i="35"/>
  <c r="H269" i="35"/>
  <c r="I269" i="35"/>
  <c r="H270" i="35"/>
  <c r="I270" i="35"/>
  <c r="H271" i="35"/>
  <c r="I271" i="35"/>
  <c r="H272" i="35"/>
  <c r="I272" i="35"/>
  <c r="H273" i="35"/>
  <c r="I273" i="35"/>
  <c r="H274" i="35"/>
  <c r="I274" i="35"/>
  <c r="H275" i="35"/>
  <c r="I275" i="35"/>
  <c r="H276" i="35"/>
  <c r="I276" i="35"/>
  <c r="H277" i="35"/>
  <c r="I277" i="35"/>
  <c r="H278" i="35"/>
  <c r="I278" i="35"/>
  <c r="H279" i="35"/>
  <c r="I279" i="35"/>
  <c r="H280" i="35"/>
  <c r="I280" i="35"/>
  <c r="H281" i="35"/>
  <c r="I281" i="35"/>
  <c r="H282" i="35"/>
  <c r="I282" i="35"/>
  <c r="H283" i="35"/>
  <c r="I283" i="35"/>
  <c r="H284" i="35"/>
  <c r="I284" i="35"/>
  <c r="H285" i="35"/>
  <c r="I285" i="35"/>
  <c r="H286" i="35"/>
  <c r="I286" i="35"/>
  <c r="H287" i="35"/>
  <c r="I287" i="35"/>
  <c r="H288" i="35"/>
  <c r="I288" i="35"/>
  <c r="H7" i="35"/>
  <c r="I7" i="35"/>
  <c r="H8" i="35"/>
  <c r="I8" i="35"/>
  <c r="H9" i="35"/>
  <c r="I9" i="35"/>
  <c r="H10" i="35"/>
  <c r="I10" i="35"/>
  <c r="H11" i="35"/>
  <c r="I11" i="35"/>
  <c r="H12" i="35"/>
  <c r="I12" i="35"/>
  <c r="H13" i="35"/>
  <c r="I13" i="35"/>
  <c r="H14" i="35"/>
  <c r="I14" i="35"/>
  <c r="H15" i="35"/>
  <c r="I15" i="35"/>
  <c r="H16" i="35"/>
  <c r="I16" i="35"/>
  <c r="H23" i="35"/>
  <c r="I23" i="35"/>
  <c r="H24" i="35"/>
  <c r="I24" i="35"/>
  <c r="H25" i="35"/>
  <c r="I25" i="35"/>
  <c r="H26" i="35"/>
  <c r="I26" i="35"/>
  <c r="H27" i="35"/>
  <c r="I27" i="35"/>
  <c r="H28" i="35"/>
  <c r="I28" i="35"/>
  <c r="H29" i="35"/>
  <c r="I29" i="35"/>
  <c r="H30" i="35"/>
  <c r="I30" i="35"/>
  <c r="H31" i="35"/>
  <c r="I31" i="35"/>
  <c r="H32" i="35"/>
  <c r="I32" i="35"/>
  <c r="H39" i="35"/>
  <c r="I39" i="35"/>
  <c r="H42" i="35"/>
  <c r="I42" i="35"/>
  <c r="H44" i="35"/>
  <c r="I44" i="35"/>
  <c r="H48" i="35"/>
  <c r="I48" i="35"/>
  <c r="H49" i="35"/>
  <c r="I49" i="35"/>
  <c r="H50" i="35"/>
  <c r="I50" i="35"/>
  <c r="H51" i="35"/>
  <c r="I51" i="35"/>
  <c r="H52" i="35"/>
  <c r="I52" i="35"/>
  <c r="H53" i="35"/>
  <c r="I53" i="35"/>
  <c r="H54" i="35"/>
  <c r="I54" i="35"/>
  <c r="H55" i="35"/>
  <c r="I55" i="35"/>
  <c r="H56" i="35"/>
  <c r="I56" i="35"/>
  <c r="H57" i="35"/>
  <c r="I57" i="35"/>
  <c r="H58" i="35"/>
  <c r="I58" i="35"/>
  <c r="H59" i="35"/>
  <c r="I59" i="35"/>
  <c r="H60" i="35"/>
  <c r="I60" i="35"/>
  <c r="H61" i="35"/>
  <c r="I61" i="35"/>
  <c r="H62" i="35"/>
  <c r="I62" i="35"/>
  <c r="H63" i="35"/>
  <c r="I63" i="35"/>
  <c r="H64" i="35"/>
  <c r="I64" i="35"/>
  <c r="H65" i="35"/>
  <c r="I65" i="35"/>
  <c r="H66" i="35"/>
  <c r="I66" i="35"/>
  <c r="H67" i="35"/>
  <c r="I67" i="35"/>
  <c r="H68" i="35"/>
  <c r="I68" i="35"/>
  <c r="H69" i="35"/>
  <c r="I69" i="35"/>
  <c r="H70" i="35"/>
  <c r="I70" i="35"/>
  <c r="H71" i="35"/>
  <c r="I71" i="35"/>
  <c r="H72" i="35"/>
  <c r="I72" i="35"/>
  <c r="H73" i="35"/>
  <c r="I73" i="35"/>
  <c r="H74" i="35"/>
  <c r="I74" i="35"/>
  <c r="H75" i="35"/>
  <c r="I75" i="35"/>
  <c r="H76" i="35"/>
  <c r="I76" i="35"/>
  <c r="H77" i="35"/>
  <c r="I77" i="35"/>
  <c r="H78" i="35"/>
  <c r="I78" i="35"/>
  <c r="H79" i="35"/>
  <c r="I79" i="35"/>
  <c r="H80" i="35"/>
  <c r="I80" i="35"/>
  <c r="H81" i="35"/>
  <c r="I81" i="35"/>
  <c r="H82" i="35"/>
  <c r="I82" i="35"/>
  <c r="H84" i="35"/>
  <c r="I84" i="35"/>
  <c r="H85" i="35"/>
  <c r="I85" i="35"/>
  <c r="H86" i="35"/>
  <c r="I86" i="35"/>
  <c r="H87" i="35"/>
  <c r="I87" i="35"/>
  <c r="H89" i="35"/>
  <c r="I89" i="35"/>
  <c r="H90" i="35"/>
  <c r="I90" i="35"/>
  <c r="H91" i="35"/>
  <c r="I91" i="35"/>
  <c r="H92" i="35"/>
  <c r="I92" i="35"/>
  <c r="H93" i="35"/>
  <c r="I93" i="35"/>
  <c r="H94" i="35"/>
  <c r="I94" i="35"/>
  <c r="H95" i="35"/>
  <c r="I95" i="35"/>
  <c r="H96" i="35"/>
  <c r="I96" i="35"/>
  <c r="H99" i="35"/>
  <c r="I99" i="35"/>
  <c r="H100" i="35"/>
  <c r="I100" i="35"/>
  <c r="H101" i="35"/>
  <c r="I101" i="35"/>
  <c r="H102" i="35"/>
  <c r="I102" i="35"/>
  <c r="H103" i="35"/>
  <c r="I103" i="35"/>
  <c r="H104" i="35"/>
  <c r="I104" i="35"/>
  <c r="H105" i="35"/>
  <c r="I105" i="35"/>
  <c r="H106" i="35"/>
  <c r="I106" i="35"/>
  <c r="H107" i="35"/>
  <c r="I107" i="35"/>
  <c r="H108" i="35"/>
  <c r="I108" i="35"/>
  <c r="H109" i="35"/>
  <c r="I109" i="35"/>
  <c r="H110" i="35"/>
  <c r="I110" i="35"/>
  <c r="H111" i="35"/>
  <c r="I111" i="35"/>
  <c r="H112" i="35"/>
  <c r="I112" i="35"/>
  <c r="H113" i="35"/>
  <c r="I113" i="35"/>
  <c r="H114" i="35"/>
  <c r="I114" i="35"/>
  <c r="H118" i="35"/>
  <c r="I118" i="35"/>
  <c r="H119" i="35"/>
  <c r="I119" i="35"/>
  <c r="H125" i="35"/>
  <c r="I125" i="35"/>
  <c r="H7" i="11"/>
  <c r="I7" i="11"/>
  <c r="H8" i="11"/>
  <c r="I8" i="11"/>
  <c r="H9" i="11"/>
  <c r="I9" i="11"/>
  <c r="H10" i="11"/>
  <c r="I10" i="11"/>
  <c r="H11" i="11"/>
  <c r="I11" i="11"/>
  <c r="H12" i="11"/>
  <c r="I12" i="11"/>
  <c r="H13" i="11"/>
  <c r="I13" i="11"/>
  <c r="H14" i="11"/>
  <c r="I14" i="11"/>
  <c r="H15" i="11"/>
  <c r="I15" i="11"/>
  <c r="H16" i="11"/>
  <c r="I16" i="11"/>
  <c r="H23" i="11"/>
  <c r="I23" i="11"/>
  <c r="H24" i="11"/>
  <c r="I24" i="11"/>
  <c r="H25" i="11"/>
  <c r="I25" i="11"/>
  <c r="H26" i="11"/>
  <c r="I26" i="11"/>
  <c r="H27" i="11"/>
  <c r="I27" i="11"/>
  <c r="H28" i="11"/>
  <c r="I28" i="11"/>
  <c r="H29" i="11"/>
  <c r="I29" i="11"/>
  <c r="H30" i="11"/>
  <c r="I30" i="11"/>
  <c r="H31" i="11"/>
  <c r="I31" i="11"/>
  <c r="H32" i="11"/>
  <c r="I32" i="11"/>
  <c r="H39" i="11"/>
  <c r="I39" i="11"/>
  <c r="H42" i="11"/>
  <c r="I42" i="11"/>
  <c r="H44" i="11"/>
  <c r="I44" i="11"/>
  <c r="H48" i="11"/>
  <c r="I48" i="11"/>
  <c r="H49" i="11"/>
  <c r="I49" i="11"/>
  <c r="H50" i="11"/>
  <c r="I50" i="11"/>
  <c r="H51" i="11"/>
  <c r="I51" i="11"/>
  <c r="H52" i="11"/>
  <c r="I52" i="11"/>
  <c r="H53" i="11"/>
  <c r="I53" i="11"/>
  <c r="H54" i="11"/>
  <c r="I54" i="11"/>
  <c r="H55" i="11"/>
  <c r="I55" i="11"/>
  <c r="H56" i="11"/>
  <c r="I56" i="11"/>
  <c r="H57" i="11"/>
  <c r="I57" i="11"/>
  <c r="H58" i="11"/>
  <c r="I58" i="11"/>
  <c r="H59" i="11"/>
  <c r="I59" i="11"/>
  <c r="H60" i="11"/>
  <c r="I60" i="11"/>
  <c r="H61" i="11"/>
  <c r="I61" i="11"/>
  <c r="H62" i="11"/>
  <c r="I62" i="11"/>
  <c r="H63" i="11"/>
  <c r="I63" i="11"/>
  <c r="H64" i="11"/>
  <c r="I64" i="11"/>
  <c r="H65" i="11"/>
  <c r="I65" i="11"/>
  <c r="H66" i="11"/>
  <c r="I66" i="11"/>
  <c r="H67" i="11"/>
  <c r="I67" i="11"/>
  <c r="H68" i="11"/>
  <c r="I68" i="11"/>
  <c r="H69" i="11"/>
  <c r="I69" i="11"/>
  <c r="H70" i="11"/>
  <c r="I70" i="11"/>
  <c r="H71" i="11"/>
  <c r="I71" i="11"/>
  <c r="H72" i="11"/>
  <c r="I72" i="11"/>
  <c r="H73" i="11"/>
  <c r="I73" i="11"/>
  <c r="H74" i="11"/>
  <c r="I74" i="11"/>
  <c r="H75" i="11"/>
  <c r="I75" i="11"/>
  <c r="H76" i="11"/>
  <c r="I76" i="11"/>
  <c r="H77" i="11"/>
  <c r="I77" i="11"/>
  <c r="H78" i="11"/>
  <c r="I78" i="11"/>
  <c r="H79" i="11"/>
  <c r="I79" i="11"/>
  <c r="H80" i="11"/>
  <c r="I80" i="11"/>
  <c r="H81" i="11"/>
  <c r="I81" i="11"/>
  <c r="H82" i="11"/>
  <c r="I82" i="11"/>
  <c r="H84" i="11"/>
  <c r="I84" i="11"/>
  <c r="H85" i="11"/>
  <c r="I85" i="11"/>
  <c r="H86" i="11"/>
  <c r="I86" i="11"/>
  <c r="H87" i="11"/>
  <c r="I87" i="11"/>
  <c r="H89" i="11"/>
  <c r="I89" i="11"/>
  <c r="H90" i="11"/>
  <c r="I90" i="11"/>
  <c r="H91" i="11"/>
  <c r="I91" i="11"/>
  <c r="H92" i="11"/>
  <c r="I92" i="11"/>
  <c r="H93" i="11"/>
  <c r="I93" i="11"/>
  <c r="H94" i="11"/>
  <c r="I94" i="11"/>
  <c r="H95" i="11"/>
  <c r="I95" i="11"/>
  <c r="H96" i="11"/>
  <c r="I96" i="11"/>
  <c r="H99" i="11"/>
  <c r="I99" i="11"/>
  <c r="H100" i="11"/>
  <c r="I100" i="11"/>
  <c r="H101" i="11"/>
  <c r="I101" i="11"/>
  <c r="H102" i="11"/>
  <c r="I102" i="11"/>
  <c r="H103" i="11"/>
  <c r="I103" i="11"/>
  <c r="H104" i="11"/>
  <c r="I104" i="11"/>
  <c r="H105" i="11"/>
  <c r="I105" i="11"/>
  <c r="H106" i="11"/>
  <c r="I106" i="11"/>
  <c r="H107" i="11"/>
  <c r="I107" i="11"/>
  <c r="H108" i="11"/>
  <c r="I108" i="11"/>
  <c r="H109" i="11"/>
  <c r="I109" i="11"/>
  <c r="H110" i="11"/>
  <c r="I110" i="11"/>
  <c r="H111" i="11"/>
  <c r="I111" i="11"/>
  <c r="H112" i="11"/>
  <c r="I112" i="11"/>
  <c r="H113" i="11"/>
  <c r="I113" i="11"/>
  <c r="H114" i="11"/>
  <c r="I114" i="11"/>
  <c r="H118" i="11"/>
  <c r="I118" i="11"/>
  <c r="H119" i="11"/>
  <c r="I119" i="11"/>
  <c r="H125" i="11"/>
  <c r="I125" i="11"/>
  <c r="H126" i="11"/>
  <c r="I126" i="11"/>
  <c r="H127" i="11"/>
  <c r="I127" i="11"/>
  <c r="H128" i="11"/>
  <c r="I128" i="11"/>
  <c r="H129" i="11"/>
  <c r="I129" i="11"/>
  <c r="H130" i="11"/>
  <c r="I130" i="11"/>
  <c r="H131" i="11"/>
  <c r="I131" i="11"/>
  <c r="H132" i="11"/>
  <c r="I132" i="11"/>
  <c r="H133" i="11"/>
  <c r="I133" i="11"/>
  <c r="H134" i="11"/>
  <c r="I134" i="11"/>
  <c r="H135" i="11"/>
  <c r="I135" i="11"/>
  <c r="H136" i="11"/>
  <c r="I136" i="11"/>
  <c r="H137" i="11"/>
  <c r="I137" i="11"/>
  <c r="H138" i="11"/>
  <c r="I138" i="11"/>
  <c r="H140" i="11"/>
  <c r="I140" i="11"/>
  <c r="H141" i="11"/>
  <c r="I141" i="11"/>
  <c r="H142" i="11"/>
  <c r="I142" i="11"/>
  <c r="H143" i="11"/>
  <c r="I143" i="11"/>
  <c r="H144" i="11"/>
  <c r="I144" i="11"/>
  <c r="H145" i="11"/>
  <c r="I145" i="11"/>
  <c r="H146" i="11"/>
  <c r="I146" i="11"/>
  <c r="H147" i="11"/>
  <c r="I147" i="11"/>
  <c r="H148" i="11"/>
  <c r="I148" i="11"/>
  <c r="H149" i="11"/>
  <c r="I149" i="11"/>
  <c r="H150" i="11"/>
  <c r="I150" i="11"/>
  <c r="H151" i="11"/>
  <c r="I151" i="11"/>
  <c r="H152" i="11"/>
  <c r="I152" i="11"/>
  <c r="H153" i="11"/>
  <c r="I153" i="11"/>
  <c r="H154" i="11"/>
  <c r="I154" i="11"/>
  <c r="H155" i="11"/>
  <c r="I155" i="11"/>
  <c r="H156" i="11"/>
  <c r="I156" i="11"/>
  <c r="H157" i="11"/>
  <c r="I157" i="11"/>
  <c r="H158" i="11"/>
  <c r="I158" i="11"/>
  <c r="H159" i="11"/>
  <c r="I159" i="11"/>
  <c r="H160" i="11"/>
  <c r="I160" i="11"/>
  <c r="H161" i="11"/>
  <c r="I161" i="11"/>
  <c r="H162" i="11"/>
  <c r="I162" i="11"/>
  <c r="H163" i="11"/>
  <c r="I163" i="11"/>
  <c r="H164" i="11"/>
  <c r="I164" i="11"/>
  <c r="H165" i="11"/>
  <c r="I165" i="11"/>
  <c r="H166" i="11"/>
  <c r="I166" i="11"/>
  <c r="H167" i="11"/>
  <c r="I167" i="11"/>
  <c r="H168" i="11"/>
  <c r="I168" i="11"/>
  <c r="H169" i="11"/>
  <c r="I169" i="11"/>
  <c r="H170" i="11"/>
  <c r="I170" i="11"/>
  <c r="H171" i="11"/>
  <c r="I171" i="11"/>
  <c r="H172" i="11"/>
  <c r="I172" i="11"/>
  <c r="H173" i="11"/>
  <c r="I173" i="11"/>
  <c r="H174" i="11"/>
  <c r="I174" i="11"/>
  <c r="H175" i="11"/>
  <c r="I175" i="11"/>
  <c r="H176" i="11"/>
  <c r="I176" i="11"/>
  <c r="H177" i="11"/>
  <c r="I177" i="11"/>
  <c r="H178" i="11"/>
  <c r="I178" i="11"/>
  <c r="H179" i="11"/>
  <c r="I179" i="11"/>
  <c r="H180" i="11"/>
  <c r="I180" i="11"/>
  <c r="H181" i="11"/>
  <c r="I181" i="11"/>
  <c r="H182" i="11"/>
  <c r="I182" i="11"/>
  <c r="H183" i="11"/>
  <c r="I183" i="11"/>
  <c r="H184" i="11"/>
  <c r="I184" i="11"/>
  <c r="H185" i="11"/>
  <c r="I185" i="11"/>
  <c r="H186" i="11"/>
  <c r="I186" i="11"/>
  <c r="H187" i="11"/>
  <c r="I187" i="11"/>
  <c r="H188" i="11"/>
  <c r="I188" i="11"/>
  <c r="H189" i="11"/>
  <c r="I189" i="11"/>
  <c r="H190" i="11"/>
  <c r="I190" i="11"/>
  <c r="H191" i="11"/>
  <c r="I191" i="11"/>
  <c r="H192" i="11"/>
  <c r="I192" i="11"/>
  <c r="H193" i="11"/>
  <c r="I193" i="11"/>
  <c r="H194" i="11"/>
  <c r="I194" i="11"/>
  <c r="H195" i="11"/>
  <c r="I195" i="11"/>
  <c r="H196" i="11"/>
  <c r="I196" i="11"/>
  <c r="H197" i="11"/>
  <c r="I197" i="11"/>
  <c r="H198" i="11"/>
  <c r="I198" i="11"/>
  <c r="H199" i="11"/>
  <c r="I199" i="11"/>
  <c r="H200" i="11"/>
  <c r="I200" i="11"/>
  <c r="H201" i="11"/>
  <c r="I201" i="11"/>
  <c r="H202" i="11"/>
  <c r="I202" i="11"/>
  <c r="H203" i="11"/>
  <c r="I203" i="11"/>
  <c r="H204" i="11"/>
  <c r="I204" i="11"/>
  <c r="H205" i="11"/>
  <c r="I205" i="11"/>
  <c r="H206" i="11"/>
  <c r="I206" i="11"/>
  <c r="H207" i="11"/>
  <c r="I207" i="11"/>
  <c r="H208" i="11"/>
  <c r="I208" i="11"/>
  <c r="H209" i="11"/>
  <c r="I209" i="11"/>
  <c r="H210" i="11"/>
  <c r="I210" i="11"/>
  <c r="H211" i="11"/>
  <c r="I211" i="11"/>
  <c r="H212" i="11"/>
  <c r="I212" i="11"/>
  <c r="H213" i="11"/>
  <c r="I213" i="11"/>
  <c r="H214" i="11"/>
  <c r="I214" i="11"/>
  <c r="H215" i="11"/>
  <c r="I215" i="11"/>
  <c r="H216" i="11"/>
  <c r="I216" i="11"/>
  <c r="H217" i="11"/>
  <c r="I217" i="11"/>
  <c r="H218" i="11"/>
  <c r="I218" i="11"/>
  <c r="H219" i="11"/>
  <c r="I219" i="11"/>
  <c r="H220" i="11"/>
  <c r="I220" i="11"/>
  <c r="H221" i="11"/>
  <c r="I221" i="11"/>
  <c r="H222" i="11"/>
  <c r="I222" i="11"/>
  <c r="H223" i="11"/>
  <c r="I223" i="11"/>
  <c r="H224" i="11"/>
  <c r="I224" i="11"/>
  <c r="H225" i="11"/>
  <c r="I225" i="11"/>
  <c r="H226" i="11"/>
  <c r="I226" i="11"/>
  <c r="H227" i="11"/>
  <c r="I227" i="11"/>
  <c r="H228" i="11"/>
  <c r="I228" i="11"/>
  <c r="H229" i="11"/>
  <c r="I229" i="11"/>
  <c r="H230" i="11"/>
  <c r="I230" i="11"/>
  <c r="H231" i="11"/>
  <c r="I231" i="11"/>
  <c r="H232" i="11"/>
  <c r="I232" i="11"/>
  <c r="H233" i="11"/>
  <c r="I233" i="11"/>
  <c r="H234" i="11"/>
  <c r="I234" i="11"/>
  <c r="H235" i="11"/>
  <c r="I235" i="11"/>
  <c r="H236" i="11"/>
  <c r="I236" i="11"/>
  <c r="H237" i="11"/>
  <c r="I237" i="11"/>
  <c r="H238" i="11"/>
  <c r="I238" i="11"/>
  <c r="H239" i="11"/>
  <c r="I239" i="11"/>
  <c r="H240" i="11"/>
  <c r="I240" i="11"/>
  <c r="H241" i="11"/>
  <c r="I241" i="11"/>
  <c r="H242" i="11"/>
  <c r="I242" i="11"/>
  <c r="H243" i="11"/>
  <c r="I243" i="11"/>
  <c r="H244" i="11"/>
  <c r="I244" i="11"/>
  <c r="H245" i="11"/>
  <c r="I245" i="11"/>
  <c r="H246" i="11"/>
  <c r="I246" i="11"/>
  <c r="H247" i="11"/>
  <c r="I247" i="11"/>
  <c r="H248" i="11"/>
  <c r="I248" i="11"/>
  <c r="H249" i="11"/>
  <c r="I249" i="11"/>
  <c r="H250" i="11"/>
  <c r="I250" i="11"/>
  <c r="H251" i="11"/>
  <c r="I251" i="11"/>
  <c r="H252" i="11"/>
  <c r="I252" i="11"/>
  <c r="H253" i="11"/>
  <c r="I253" i="11"/>
  <c r="H254" i="11"/>
  <c r="I254" i="11"/>
  <c r="H255" i="11"/>
  <c r="I255" i="11"/>
  <c r="H256" i="11"/>
  <c r="I256" i="11"/>
  <c r="H257" i="11"/>
  <c r="I257" i="11"/>
  <c r="H258" i="11"/>
  <c r="I258" i="11"/>
  <c r="H259" i="11"/>
  <c r="I259" i="11"/>
  <c r="H260" i="11"/>
  <c r="I260" i="11"/>
  <c r="H261" i="11"/>
  <c r="I261" i="11"/>
  <c r="H262" i="11"/>
  <c r="I262" i="11"/>
  <c r="H263" i="11"/>
  <c r="I263" i="11"/>
  <c r="H264" i="11"/>
  <c r="I264" i="11"/>
  <c r="H265" i="11"/>
  <c r="I265" i="11"/>
  <c r="H266" i="11"/>
  <c r="I266" i="11"/>
  <c r="H267" i="11"/>
  <c r="I267" i="11"/>
  <c r="H268" i="11"/>
  <c r="I268" i="11"/>
  <c r="H269" i="11"/>
  <c r="I269" i="11"/>
  <c r="H270" i="11"/>
  <c r="I270" i="11"/>
  <c r="H271" i="11"/>
  <c r="I271" i="11"/>
  <c r="H272" i="11"/>
  <c r="I272" i="11"/>
  <c r="H273" i="11"/>
  <c r="I273" i="11"/>
  <c r="H274" i="11"/>
  <c r="I274" i="11"/>
  <c r="H275" i="11"/>
  <c r="I275" i="11"/>
  <c r="H276" i="11"/>
  <c r="I276" i="11"/>
  <c r="H277" i="11"/>
  <c r="I277" i="11"/>
  <c r="H278" i="11"/>
  <c r="I278" i="11"/>
  <c r="H279" i="11"/>
  <c r="I279" i="11"/>
  <c r="H280" i="11"/>
  <c r="I280" i="11"/>
  <c r="H281" i="11"/>
  <c r="I281" i="11"/>
  <c r="H282" i="11"/>
  <c r="I282" i="11"/>
  <c r="H283" i="11"/>
  <c r="I283" i="11"/>
  <c r="H284" i="11"/>
  <c r="I284" i="11"/>
  <c r="H285" i="11"/>
  <c r="I285" i="11"/>
  <c r="H286" i="11"/>
  <c r="I286" i="11"/>
  <c r="H287" i="11"/>
  <c r="I287" i="11"/>
  <c r="H288" i="11"/>
  <c r="I288" i="11"/>
  <c r="H7" i="10"/>
  <c r="I7" i="10"/>
  <c r="H8" i="10"/>
  <c r="I8" i="10"/>
  <c r="H9" i="10"/>
  <c r="I9" i="10"/>
  <c r="H10" i="10"/>
  <c r="I10" i="10"/>
  <c r="H11" i="10"/>
  <c r="I11" i="10"/>
  <c r="H12" i="10"/>
  <c r="I12" i="10"/>
  <c r="H13" i="10"/>
  <c r="I13" i="10"/>
  <c r="H14" i="10"/>
  <c r="I14" i="10"/>
  <c r="H15" i="10"/>
  <c r="I15" i="10"/>
  <c r="H16" i="10"/>
  <c r="I16" i="10"/>
  <c r="H23" i="10"/>
  <c r="I23" i="10"/>
  <c r="H24" i="10"/>
  <c r="I24" i="10"/>
  <c r="H25" i="10"/>
  <c r="I25" i="10"/>
  <c r="H26" i="10"/>
  <c r="I26" i="10"/>
  <c r="H27" i="10"/>
  <c r="I27" i="10"/>
  <c r="H28" i="10"/>
  <c r="I28" i="10"/>
  <c r="H29" i="10"/>
  <c r="I29" i="10"/>
  <c r="H30" i="10"/>
  <c r="I30" i="10"/>
  <c r="H31" i="10"/>
  <c r="I31" i="10"/>
  <c r="H32" i="10"/>
  <c r="I32" i="10"/>
  <c r="H39" i="10"/>
  <c r="I39" i="10"/>
  <c r="H42" i="10"/>
  <c r="I42" i="10"/>
  <c r="H44" i="10"/>
  <c r="I44" i="10"/>
  <c r="H48" i="10"/>
  <c r="I48" i="10"/>
  <c r="H49" i="10"/>
  <c r="I49" i="10"/>
  <c r="H50" i="10"/>
  <c r="I50" i="10"/>
  <c r="H51" i="10"/>
  <c r="I51" i="10"/>
  <c r="H52" i="10"/>
  <c r="I52" i="10"/>
  <c r="H53" i="10"/>
  <c r="I53" i="10"/>
  <c r="H54" i="10"/>
  <c r="I54" i="10"/>
  <c r="H55" i="10"/>
  <c r="I55" i="10"/>
  <c r="H56" i="10"/>
  <c r="I56" i="10"/>
  <c r="H57" i="10"/>
  <c r="I57" i="10"/>
  <c r="H58" i="10"/>
  <c r="I58" i="10"/>
  <c r="H59" i="10"/>
  <c r="I59" i="10"/>
  <c r="H60" i="10"/>
  <c r="I60" i="10"/>
  <c r="H61" i="10"/>
  <c r="I61" i="10"/>
  <c r="H62" i="10"/>
  <c r="I62" i="10"/>
  <c r="H63" i="10"/>
  <c r="I63" i="10"/>
  <c r="H64" i="10"/>
  <c r="I64" i="10"/>
  <c r="H65" i="10"/>
  <c r="I65" i="10"/>
  <c r="H66" i="10"/>
  <c r="I66" i="10"/>
  <c r="H67" i="10"/>
  <c r="I67" i="10"/>
  <c r="H68" i="10"/>
  <c r="I68" i="10"/>
  <c r="H69" i="10"/>
  <c r="I69" i="10"/>
  <c r="H70" i="10"/>
  <c r="I70" i="10"/>
  <c r="H71" i="10"/>
  <c r="I71" i="10"/>
  <c r="H72" i="10"/>
  <c r="I72" i="10"/>
  <c r="H73" i="10"/>
  <c r="I73" i="10"/>
  <c r="H74" i="10"/>
  <c r="I74" i="10"/>
  <c r="H75" i="10"/>
  <c r="I75" i="10"/>
  <c r="H76" i="10"/>
  <c r="I76" i="10"/>
  <c r="H77" i="10"/>
  <c r="I77" i="10"/>
  <c r="H78" i="10"/>
  <c r="I78" i="10"/>
  <c r="H79" i="10"/>
  <c r="I79" i="10"/>
  <c r="H80" i="10"/>
  <c r="I80" i="10"/>
  <c r="H81" i="10"/>
  <c r="I81" i="10"/>
  <c r="H82" i="10"/>
  <c r="I82" i="10"/>
  <c r="H84" i="10"/>
  <c r="I84" i="10"/>
  <c r="H85" i="10"/>
  <c r="I85" i="10"/>
  <c r="H86" i="10"/>
  <c r="I86" i="10"/>
  <c r="H87" i="10"/>
  <c r="I87" i="10"/>
  <c r="H89" i="10"/>
  <c r="I89" i="10"/>
  <c r="H90" i="10"/>
  <c r="I90" i="10"/>
  <c r="H91" i="10"/>
  <c r="I91" i="10"/>
  <c r="H92" i="10"/>
  <c r="I92" i="10"/>
  <c r="H93" i="10"/>
  <c r="I93" i="10"/>
  <c r="H94" i="10"/>
  <c r="I94" i="10"/>
  <c r="H95" i="10"/>
  <c r="I95" i="10"/>
  <c r="H96" i="10"/>
  <c r="I96" i="10"/>
  <c r="H99" i="10"/>
  <c r="I99" i="10"/>
  <c r="H100" i="10"/>
  <c r="I100" i="10"/>
  <c r="H101" i="10"/>
  <c r="I101" i="10"/>
  <c r="H102" i="10"/>
  <c r="I102" i="10"/>
  <c r="H103" i="10"/>
  <c r="I103" i="10"/>
  <c r="H104" i="10"/>
  <c r="I104" i="10"/>
  <c r="H105" i="10"/>
  <c r="I105" i="10"/>
  <c r="H106" i="10"/>
  <c r="I106" i="10"/>
  <c r="H107" i="10"/>
  <c r="I107" i="10"/>
  <c r="H108" i="10"/>
  <c r="I108" i="10"/>
  <c r="H109" i="10"/>
  <c r="I109" i="10"/>
  <c r="H110" i="10"/>
  <c r="I110" i="10"/>
  <c r="H111" i="10"/>
  <c r="I111" i="10"/>
  <c r="H112" i="10"/>
  <c r="I112" i="10"/>
  <c r="H113" i="10"/>
  <c r="I113" i="10"/>
  <c r="H114" i="10"/>
  <c r="I114" i="10"/>
  <c r="H118" i="10"/>
  <c r="I118" i="10"/>
  <c r="H119" i="10"/>
  <c r="I119" i="10"/>
  <c r="H125" i="10"/>
  <c r="I125" i="10"/>
  <c r="H126" i="10"/>
  <c r="I126" i="10"/>
  <c r="H127" i="10"/>
  <c r="I127" i="10"/>
  <c r="H128" i="10"/>
  <c r="I128" i="10"/>
  <c r="H129" i="10"/>
  <c r="I129" i="10"/>
  <c r="H130" i="10"/>
  <c r="I130" i="10"/>
  <c r="H131" i="10"/>
  <c r="I131" i="10"/>
  <c r="H132" i="10"/>
  <c r="I132" i="10"/>
  <c r="H133" i="10"/>
  <c r="I133" i="10"/>
  <c r="H134" i="10"/>
  <c r="I134" i="10"/>
  <c r="H135" i="10"/>
  <c r="I135" i="10"/>
  <c r="H136" i="10"/>
  <c r="I136" i="10"/>
  <c r="H137" i="10"/>
  <c r="I137" i="10"/>
  <c r="H138" i="10"/>
  <c r="I138" i="10"/>
  <c r="H140" i="10"/>
  <c r="I140" i="10"/>
  <c r="H141" i="10"/>
  <c r="I141" i="10"/>
  <c r="H142" i="10"/>
  <c r="I142" i="10"/>
  <c r="H143" i="10"/>
  <c r="I143" i="10"/>
  <c r="H144" i="10"/>
  <c r="I144" i="10"/>
  <c r="H145" i="10"/>
  <c r="I145" i="10"/>
  <c r="H146" i="10"/>
  <c r="I146" i="10"/>
  <c r="H147" i="10"/>
  <c r="I147" i="10"/>
  <c r="H148" i="10"/>
  <c r="I148" i="10"/>
  <c r="H149" i="10"/>
  <c r="I149" i="10"/>
  <c r="H150" i="10"/>
  <c r="I150" i="10"/>
  <c r="H151" i="10"/>
  <c r="I151" i="10"/>
  <c r="H152" i="10"/>
  <c r="I152" i="10"/>
  <c r="H153" i="10"/>
  <c r="I153" i="10"/>
  <c r="H154" i="10"/>
  <c r="I154" i="10"/>
  <c r="H155" i="10"/>
  <c r="I155" i="10"/>
  <c r="H156" i="10"/>
  <c r="I156" i="10"/>
  <c r="H157" i="10"/>
  <c r="I157" i="10"/>
  <c r="H158" i="10"/>
  <c r="I158" i="10"/>
  <c r="H159" i="10"/>
  <c r="I159" i="10"/>
  <c r="H160" i="10"/>
  <c r="I160" i="10"/>
  <c r="H161" i="10"/>
  <c r="I161" i="10"/>
  <c r="H162" i="10"/>
  <c r="I162" i="10"/>
  <c r="H163" i="10"/>
  <c r="I163" i="10"/>
  <c r="H164" i="10"/>
  <c r="I164" i="10"/>
  <c r="H165" i="10"/>
  <c r="I165" i="10"/>
  <c r="H166" i="10"/>
  <c r="I166" i="10"/>
  <c r="H167" i="10"/>
  <c r="I167" i="10"/>
  <c r="H168" i="10"/>
  <c r="I168" i="10"/>
  <c r="H169" i="10"/>
  <c r="I169" i="10"/>
  <c r="H170" i="10"/>
  <c r="I170" i="10"/>
  <c r="H171" i="10"/>
  <c r="I171" i="10"/>
  <c r="H172" i="10"/>
  <c r="I172" i="10"/>
  <c r="H173" i="10"/>
  <c r="I173" i="10"/>
  <c r="H174" i="10"/>
  <c r="I174" i="10"/>
  <c r="H175" i="10"/>
  <c r="I175" i="10"/>
  <c r="H176" i="10"/>
  <c r="I176" i="10"/>
  <c r="H177" i="10"/>
  <c r="I177" i="10"/>
  <c r="H178" i="10"/>
  <c r="I178" i="10"/>
  <c r="H179" i="10"/>
  <c r="I179" i="10"/>
  <c r="H180" i="10"/>
  <c r="I180" i="10"/>
  <c r="H181" i="10"/>
  <c r="I181" i="10"/>
  <c r="H182" i="10"/>
  <c r="I182" i="10"/>
  <c r="H183" i="10"/>
  <c r="I183" i="10"/>
  <c r="H184" i="10"/>
  <c r="I184" i="10"/>
  <c r="H185" i="10"/>
  <c r="I185" i="10"/>
  <c r="H186" i="10"/>
  <c r="I186" i="10"/>
  <c r="H187" i="10"/>
  <c r="I187" i="10"/>
  <c r="H188" i="10"/>
  <c r="I188" i="10"/>
  <c r="H189" i="10"/>
  <c r="I189" i="10"/>
  <c r="H190" i="10"/>
  <c r="I190" i="10"/>
  <c r="H191" i="10"/>
  <c r="I191" i="10"/>
  <c r="H192" i="10"/>
  <c r="I192" i="10"/>
  <c r="H193" i="10"/>
  <c r="I193" i="10"/>
  <c r="H194" i="10"/>
  <c r="I194" i="10"/>
  <c r="H195" i="10"/>
  <c r="I195" i="10"/>
  <c r="H196" i="10"/>
  <c r="I196" i="10"/>
  <c r="H197" i="10"/>
  <c r="I197" i="10"/>
  <c r="H198" i="10"/>
  <c r="I198" i="10"/>
  <c r="H199" i="10"/>
  <c r="I199" i="10"/>
  <c r="H200" i="10"/>
  <c r="I200" i="10"/>
  <c r="H201" i="10"/>
  <c r="I201" i="10"/>
  <c r="H202" i="10"/>
  <c r="I202" i="10"/>
  <c r="H203" i="10"/>
  <c r="I203" i="10"/>
  <c r="H204" i="10"/>
  <c r="I204" i="10"/>
  <c r="H205" i="10"/>
  <c r="I205" i="10"/>
  <c r="H206" i="10"/>
  <c r="I206" i="10"/>
  <c r="H207" i="10"/>
  <c r="I207" i="10"/>
  <c r="H208" i="10"/>
  <c r="I208" i="10"/>
  <c r="H209" i="10"/>
  <c r="I209" i="10"/>
  <c r="H210" i="10"/>
  <c r="I210" i="10"/>
  <c r="H211" i="10"/>
  <c r="I211" i="10"/>
  <c r="H212" i="10"/>
  <c r="I212" i="10"/>
  <c r="H213" i="10"/>
  <c r="I213" i="10"/>
  <c r="H214" i="10"/>
  <c r="I214" i="10"/>
  <c r="H215" i="10"/>
  <c r="I215" i="10"/>
  <c r="H216" i="10"/>
  <c r="I216" i="10"/>
  <c r="H217" i="10"/>
  <c r="I217" i="10"/>
  <c r="H218" i="10"/>
  <c r="I218" i="10"/>
  <c r="H219" i="10"/>
  <c r="I219" i="10"/>
  <c r="H220" i="10"/>
  <c r="I220" i="10"/>
  <c r="H221" i="10"/>
  <c r="I221" i="10"/>
  <c r="H222" i="10"/>
  <c r="I222" i="10"/>
  <c r="H223" i="10"/>
  <c r="I223" i="10"/>
  <c r="H224" i="10"/>
  <c r="I224" i="10"/>
  <c r="H225" i="10"/>
  <c r="I225" i="10"/>
  <c r="H226" i="10"/>
  <c r="I226" i="10"/>
  <c r="H227" i="10"/>
  <c r="I227" i="10"/>
  <c r="H228" i="10"/>
  <c r="I228" i="10"/>
  <c r="H229" i="10"/>
  <c r="I229" i="10"/>
  <c r="H230" i="10"/>
  <c r="I230" i="10"/>
  <c r="H231" i="10"/>
  <c r="I231" i="10"/>
  <c r="H232" i="10"/>
  <c r="I232" i="10"/>
  <c r="H233" i="10"/>
  <c r="I233" i="10"/>
  <c r="H234" i="10"/>
  <c r="I234" i="10"/>
  <c r="H235" i="10"/>
  <c r="I235" i="10"/>
  <c r="H236" i="10"/>
  <c r="I236" i="10"/>
  <c r="H237" i="10"/>
  <c r="I237" i="10"/>
  <c r="H238" i="10"/>
  <c r="I238" i="10"/>
  <c r="H239" i="10"/>
  <c r="I239" i="10"/>
  <c r="H240" i="10"/>
  <c r="I240" i="10"/>
  <c r="H241" i="10"/>
  <c r="I241" i="10"/>
  <c r="H242" i="10"/>
  <c r="I242" i="10"/>
  <c r="H243" i="10"/>
  <c r="I243" i="10"/>
  <c r="H244" i="10"/>
  <c r="I244" i="10"/>
  <c r="H245" i="10"/>
  <c r="I245" i="10"/>
  <c r="H246" i="10"/>
  <c r="I246" i="10"/>
  <c r="H247" i="10"/>
  <c r="I247" i="10"/>
  <c r="H248" i="10"/>
  <c r="I248" i="10"/>
  <c r="H249" i="10"/>
  <c r="I249" i="10"/>
  <c r="H250" i="10"/>
  <c r="I250" i="10"/>
  <c r="H251" i="10"/>
  <c r="I251" i="10"/>
  <c r="H252" i="10"/>
  <c r="I252" i="10"/>
  <c r="H253" i="10"/>
  <c r="I253" i="10"/>
  <c r="H254" i="10"/>
  <c r="I254" i="10"/>
  <c r="H255" i="10"/>
  <c r="I255" i="10"/>
  <c r="H256" i="10"/>
  <c r="I256" i="10"/>
  <c r="H257" i="10"/>
  <c r="I257" i="10"/>
  <c r="H258" i="10"/>
  <c r="I258" i="10"/>
  <c r="H259" i="10"/>
  <c r="I259" i="10"/>
  <c r="H260" i="10"/>
  <c r="I260" i="10"/>
  <c r="H261" i="10"/>
  <c r="I261" i="10"/>
  <c r="H262" i="10"/>
  <c r="I262" i="10"/>
  <c r="H263" i="10"/>
  <c r="I263" i="10"/>
  <c r="H264" i="10"/>
  <c r="I264" i="10"/>
  <c r="H265" i="10"/>
  <c r="I265" i="10"/>
  <c r="H266" i="10"/>
  <c r="I266" i="10"/>
  <c r="H267" i="10"/>
  <c r="I267" i="10"/>
  <c r="H268" i="10"/>
  <c r="I268" i="10"/>
  <c r="H269" i="10"/>
  <c r="I269" i="10"/>
  <c r="H270" i="10"/>
  <c r="I270" i="10"/>
  <c r="H271" i="10"/>
  <c r="I271" i="10"/>
  <c r="H272" i="10"/>
  <c r="I272" i="10"/>
  <c r="H273" i="10"/>
  <c r="I273" i="10"/>
  <c r="H274" i="10"/>
  <c r="I274" i="10"/>
  <c r="H275" i="10"/>
  <c r="I275" i="10"/>
  <c r="H276" i="10"/>
  <c r="I276" i="10"/>
  <c r="H277" i="10"/>
  <c r="I277" i="10"/>
  <c r="H278" i="10"/>
  <c r="I278" i="10"/>
  <c r="H279" i="10"/>
  <c r="I279" i="10"/>
  <c r="H280" i="10"/>
  <c r="I280" i="10"/>
  <c r="H281" i="10"/>
  <c r="I281" i="10"/>
  <c r="H282" i="10"/>
  <c r="I282" i="10"/>
  <c r="H283" i="10"/>
  <c r="I283" i="10"/>
  <c r="H284" i="10"/>
  <c r="I284" i="10"/>
  <c r="H285" i="10"/>
  <c r="I285" i="10"/>
  <c r="H286" i="10"/>
  <c r="I286" i="10"/>
  <c r="H287" i="10"/>
  <c r="I287" i="10"/>
  <c r="H288" i="10"/>
  <c r="I288" i="10"/>
  <c r="H7" i="33"/>
  <c r="I7" i="33"/>
  <c r="H8" i="33"/>
  <c r="I8" i="33"/>
  <c r="H9" i="33"/>
  <c r="I9" i="33"/>
  <c r="H10" i="33"/>
  <c r="I10" i="33"/>
  <c r="H11" i="33"/>
  <c r="I11" i="33"/>
  <c r="H12" i="33"/>
  <c r="I12" i="33"/>
  <c r="H13" i="33"/>
  <c r="I13" i="33"/>
  <c r="H14" i="33"/>
  <c r="I14" i="33"/>
  <c r="H15" i="33"/>
  <c r="I15" i="33"/>
  <c r="H16" i="33"/>
  <c r="I16" i="33"/>
  <c r="H23" i="33"/>
  <c r="I23" i="33"/>
  <c r="H24" i="33"/>
  <c r="I24" i="33"/>
  <c r="H25" i="33"/>
  <c r="I25" i="33"/>
  <c r="H26" i="33"/>
  <c r="I26" i="33"/>
  <c r="H27" i="33"/>
  <c r="I27" i="33"/>
  <c r="H28" i="33"/>
  <c r="I28" i="33"/>
  <c r="H29" i="33"/>
  <c r="I29" i="33"/>
  <c r="H30" i="33"/>
  <c r="I30" i="33"/>
  <c r="H31" i="33"/>
  <c r="I31" i="33"/>
  <c r="H32" i="33"/>
  <c r="I32" i="33"/>
  <c r="H39" i="33"/>
  <c r="I39" i="33"/>
  <c r="H42" i="33"/>
  <c r="I42" i="33"/>
  <c r="H44" i="33"/>
  <c r="I44" i="33"/>
  <c r="H48" i="33"/>
  <c r="I48" i="33"/>
  <c r="H49" i="33"/>
  <c r="I49" i="33"/>
  <c r="H50" i="33"/>
  <c r="I50" i="33"/>
  <c r="H51" i="33"/>
  <c r="I51" i="33"/>
  <c r="H52" i="33"/>
  <c r="I52" i="33"/>
  <c r="H53" i="33"/>
  <c r="I53" i="33"/>
  <c r="H54" i="33"/>
  <c r="I54" i="33"/>
  <c r="H55" i="33"/>
  <c r="I55" i="33"/>
  <c r="H56" i="33"/>
  <c r="I56" i="33"/>
  <c r="H57" i="33"/>
  <c r="I57" i="33"/>
  <c r="H58" i="33"/>
  <c r="I58" i="33"/>
  <c r="H59" i="33"/>
  <c r="I59" i="33"/>
  <c r="H60" i="33"/>
  <c r="I60" i="33"/>
  <c r="H61" i="33"/>
  <c r="I61" i="33"/>
  <c r="H62" i="33"/>
  <c r="I62" i="33"/>
  <c r="H63" i="33"/>
  <c r="I63" i="33"/>
  <c r="H64" i="33"/>
  <c r="I64" i="33"/>
  <c r="H65" i="33"/>
  <c r="I65" i="33"/>
  <c r="H66" i="33"/>
  <c r="I66" i="33"/>
  <c r="H67" i="33"/>
  <c r="I67" i="33"/>
  <c r="H68" i="33"/>
  <c r="I68" i="33"/>
  <c r="H69" i="33"/>
  <c r="I69" i="33"/>
  <c r="H70" i="33"/>
  <c r="I70" i="33"/>
  <c r="H71" i="33"/>
  <c r="I71" i="33"/>
  <c r="H72" i="33"/>
  <c r="I72" i="33"/>
  <c r="H73" i="33"/>
  <c r="I73" i="33"/>
  <c r="H74" i="33"/>
  <c r="I74" i="33"/>
  <c r="H75" i="33"/>
  <c r="I75" i="33"/>
  <c r="H76" i="33"/>
  <c r="I76" i="33"/>
  <c r="H77" i="33"/>
  <c r="I77" i="33"/>
  <c r="H78" i="33"/>
  <c r="I78" i="33"/>
  <c r="H79" i="33"/>
  <c r="I79" i="33"/>
  <c r="H80" i="33"/>
  <c r="I80" i="33"/>
  <c r="H81" i="33"/>
  <c r="I81" i="33"/>
  <c r="H82" i="33"/>
  <c r="I82" i="33"/>
  <c r="H84" i="33"/>
  <c r="I84" i="33"/>
  <c r="H85" i="33"/>
  <c r="I85" i="33"/>
  <c r="H86" i="33"/>
  <c r="I86" i="33"/>
  <c r="H87" i="33"/>
  <c r="I87" i="33"/>
  <c r="H89" i="33"/>
  <c r="I89" i="33"/>
  <c r="H90" i="33"/>
  <c r="I90" i="33"/>
  <c r="H91" i="33"/>
  <c r="I91" i="33"/>
  <c r="H92" i="33"/>
  <c r="I92" i="33"/>
  <c r="H93" i="33"/>
  <c r="I93" i="33"/>
  <c r="H94" i="33"/>
  <c r="I94" i="33"/>
  <c r="H95" i="33"/>
  <c r="I95" i="33"/>
  <c r="H96" i="33"/>
  <c r="I96" i="33"/>
  <c r="H99" i="33"/>
  <c r="I99" i="33"/>
  <c r="H100" i="33"/>
  <c r="I100" i="33"/>
  <c r="H101" i="33"/>
  <c r="I101" i="33"/>
  <c r="H102" i="33"/>
  <c r="I102" i="33"/>
  <c r="H103" i="33"/>
  <c r="I103" i="33"/>
  <c r="H104" i="33"/>
  <c r="I104" i="33"/>
  <c r="H105" i="33"/>
  <c r="I105" i="33"/>
  <c r="H106" i="33"/>
  <c r="I106" i="33"/>
  <c r="H107" i="33"/>
  <c r="I107" i="33"/>
  <c r="H108" i="33"/>
  <c r="I108" i="33"/>
  <c r="H109" i="33"/>
  <c r="I109" i="33"/>
  <c r="H110" i="33"/>
  <c r="I110" i="33"/>
  <c r="H111" i="33"/>
  <c r="I111" i="33"/>
  <c r="H112" i="33"/>
  <c r="I112" i="33"/>
  <c r="H113" i="33"/>
  <c r="I113" i="33"/>
  <c r="H114" i="33"/>
  <c r="I114" i="33"/>
  <c r="H118" i="33"/>
  <c r="I118" i="33"/>
  <c r="H119" i="33"/>
  <c r="I119" i="33"/>
  <c r="H125" i="33"/>
  <c r="I125" i="33"/>
  <c r="H126" i="33"/>
  <c r="I126" i="33"/>
  <c r="H127" i="33"/>
  <c r="I127" i="33"/>
  <c r="H128" i="33"/>
  <c r="I128" i="33"/>
  <c r="H129" i="33"/>
  <c r="I129" i="33"/>
  <c r="H130" i="33"/>
  <c r="I130" i="33"/>
  <c r="H131" i="33"/>
  <c r="I131" i="33"/>
  <c r="H132" i="33"/>
  <c r="I132" i="33"/>
  <c r="H133" i="33"/>
  <c r="I133" i="33"/>
  <c r="H134" i="33"/>
  <c r="I134" i="33"/>
  <c r="H135" i="33"/>
  <c r="I135" i="33"/>
  <c r="H136" i="33"/>
  <c r="I136" i="33"/>
  <c r="H137" i="33"/>
  <c r="I137" i="33"/>
  <c r="H138" i="33"/>
  <c r="I138" i="33"/>
  <c r="H140" i="33"/>
  <c r="I140" i="33"/>
  <c r="H141" i="33"/>
  <c r="I141" i="33"/>
  <c r="H142" i="33"/>
  <c r="I142" i="33"/>
  <c r="H143" i="33"/>
  <c r="I143" i="33"/>
  <c r="H144" i="33"/>
  <c r="I144" i="33"/>
  <c r="H145" i="33"/>
  <c r="I145" i="33"/>
  <c r="H146" i="33"/>
  <c r="I146" i="33"/>
  <c r="H147" i="33"/>
  <c r="I147" i="33"/>
  <c r="H148" i="33"/>
  <c r="I148" i="33"/>
  <c r="H149" i="33"/>
  <c r="I149" i="33"/>
  <c r="H150" i="33"/>
  <c r="I150" i="33"/>
  <c r="H151" i="33"/>
  <c r="I151" i="33"/>
  <c r="H152" i="33"/>
  <c r="I152" i="33"/>
  <c r="H153" i="33"/>
  <c r="I153" i="33"/>
  <c r="H154" i="33"/>
  <c r="I154" i="33"/>
  <c r="H155" i="33"/>
  <c r="I155" i="33"/>
  <c r="H156" i="33"/>
  <c r="I156" i="33"/>
  <c r="H157" i="33"/>
  <c r="I157" i="33"/>
  <c r="H158" i="33"/>
  <c r="I158" i="33"/>
  <c r="H159" i="33"/>
  <c r="I159" i="33"/>
  <c r="H160" i="33"/>
  <c r="I160" i="33"/>
  <c r="H161" i="33"/>
  <c r="I161" i="33"/>
  <c r="H162" i="33"/>
  <c r="I162" i="33"/>
  <c r="H163" i="33"/>
  <c r="I163" i="33"/>
  <c r="H164" i="33"/>
  <c r="I164" i="33"/>
  <c r="H165" i="33"/>
  <c r="I165" i="33"/>
  <c r="H166" i="33"/>
  <c r="I166" i="33"/>
  <c r="H167" i="33"/>
  <c r="I167" i="33"/>
  <c r="H168" i="33"/>
  <c r="I168" i="33"/>
  <c r="H169" i="33"/>
  <c r="I169" i="33"/>
  <c r="H170" i="33"/>
  <c r="I170" i="33"/>
  <c r="H171" i="33"/>
  <c r="I171" i="33"/>
  <c r="H172" i="33"/>
  <c r="I172" i="33"/>
  <c r="H173" i="33"/>
  <c r="I173" i="33"/>
  <c r="H174" i="33"/>
  <c r="I174" i="33"/>
  <c r="H175" i="33"/>
  <c r="I175" i="33"/>
  <c r="H176" i="33"/>
  <c r="I176" i="33"/>
  <c r="H177" i="33"/>
  <c r="I177" i="33"/>
  <c r="H178" i="33"/>
  <c r="I178" i="33"/>
  <c r="H179" i="33"/>
  <c r="I179" i="33"/>
  <c r="H180" i="33"/>
  <c r="I180" i="33"/>
  <c r="H181" i="33"/>
  <c r="I181" i="33"/>
  <c r="H182" i="33"/>
  <c r="I182" i="33"/>
  <c r="H183" i="33"/>
  <c r="I183" i="33"/>
  <c r="H184" i="33"/>
  <c r="I184" i="33"/>
  <c r="H185" i="33"/>
  <c r="I185" i="33"/>
  <c r="H186" i="33"/>
  <c r="I186" i="33"/>
  <c r="H187" i="33"/>
  <c r="I187" i="33"/>
  <c r="H188" i="33"/>
  <c r="I188" i="33"/>
  <c r="H189" i="33"/>
  <c r="I189" i="33"/>
  <c r="H190" i="33"/>
  <c r="I190" i="33"/>
  <c r="H191" i="33"/>
  <c r="I191" i="33"/>
  <c r="H192" i="33"/>
  <c r="I192" i="33"/>
  <c r="H193" i="33"/>
  <c r="I193" i="33"/>
  <c r="H194" i="33"/>
  <c r="I194" i="33"/>
  <c r="H195" i="33"/>
  <c r="I195" i="33"/>
  <c r="H196" i="33"/>
  <c r="I196" i="33"/>
  <c r="H197" i="33"/>
  <c r="I197" i="33"/>
  <c r="H198" i="33"/>
  <c r="I198" i="33"/>
  <c r="H199" i="33"/>
  <c r="I199" i="33"/>
  <c r="H200" i="33"/>
  <c r="I200" i="33"/>
  <c r="H201" i="33"/>
  <c r="I201" i="33"/>
  <c r="H202" i="33"/>
  <c r="I202" i="33"/>
  <c r="H203" i="33"/>
  <c r="I203" i="33"/>
  <c r="H204" i="33"/>
  <c r="I204" i="33"/>
  <c r="H205" i="33"/>
  <c r="I205" i="33"/>
  <c r="H206" i="33"/>
  <c r="I206" i="33"/>
  <c r="H207" i="33"/>
  <c r="I207" i="33"/>
  <c r="H208" i="33"/>
  <c r="I208" i="33"/>
  <c r="H209" i="33"/>
  <c r="I209" i="33"/>
  <c r="H210" i="33"/>
  <c r="I210" i="33"/>
  <c r="H211" i="33"/>
  <c r="I211" i="33"/>
  <c r="H212" i="33"/>
  <c r="I212" i="33"/>
  <c r="H213" i="33"/>
  <c r="I213" i="33"/>
  <c r="H214" i="33"/>
  <c r="I214" i="33"/>
  <c r="H215" i="33"/>
  <c r="I215" i="33"/>
  <c r="H216" i="33"/>
  <c r="I216" i="33"/>
  <c r="H217" i="33"/>
  <c r="I217" i="33"/>
  <c r="H218" i="33"/>
  <c r="I218" i="33"/>
  <c r="H219" i="33"/>
  <c r="I219" i="33"/>
  <c r="H220" i="33"/>
  <c r="I220" i="33"/>
  <c r="H221" i="33"/>
  <c r="I221" i="33"/>
  <c r="H222" i="33"/>
  <c r="I222" i="33"/>
  <c r="H223" i="33"/>
  <c r="I223" i="33"/>
  <c r="H224" i="33"/>
  <c r="I224" i="33"/>
  <c r="H225" i="33"/>
  <c r="I225" i="33"/>
  <c r="H226" i="33"/>
  <c r="I226" i="33"/>
  <c r="H227" i="33"/>
  <c r="I227" i="33"/>
  <c r="H228" i="33"/>
  <c r="I228" i="33"/>
  <c r="H229" i="33"/>
  <c r="I229" i="33"/>
  <c r="H230" i="33"/>
  <c r="I230" i="33"/>
  <c r="H231" i="33"/>
  <c r="I231" i="33"/>
  <c r="H232" i="33"/>
  <c r="I232" i="33"/>
  <c r="H233" i="33"/>
  <c r="I233" i="33"/>
  <c r="H234" i="33"/>
  <c r="I234" i="33"/>
  <c r="H235" i="33"/>
  <c r="I235" i="33"/>
  <c r="H236" i="33"/>
  <c r="I236" i="33"/>
  <c r="H237" i="33"/>
  <c r="I237" i="33"/>
  <c r="H238" i="33"/>
  <c r="I238" i="33"/>
  <c r="H239" i="33"/>
  <c r="I239" i="33"/>
  <c r="H240" i="33"/>
  <c r="I240" i="33"/>
  <c r="H241" i="33"/>
  <c r="I241" i="33"/>
  <c r="H242" i="33"/>
  <c r="I242" i="33"/>
  <c r="H243" i="33"/>
  <c r="I243" i="33"/>
  <c r="H244" i="33"/>
  <c r="I244" i="33"/>
  <c r="H245" i="33"/>
  <c r="I245" i="33"/>
  <c r="H246" i="33"/>
  <c r="I246" i="33"/>
  <c r="H247" i="33"/>
  <c r="I247" i="33"/>
  <c r="H248" i="33"/>
  <c r="I248" i="33"/>
  <c r="H249" i="33"/>
  <c r="I249" i="33"/>
  <c r="H250" i="33"/>
  <c r="I250" i="33"/>
  <c r="H251" i="33"/>
  <c r="I251" i="33"/>
  <c r="H252" i="33"/>
  <c r="I252" i="33"/>
  <c r="H253" i="33"/>
  <c r="I253" i="33"/>
  <c r="H254" i="33"/>
  <c r="I254" i="33"/>
  <c r="H255" i="33"/>
  <c r="I255" i="33"/>
  <c r="H256" i="33"/>
  <c r="I256" i="33"/>
  <c r="H257" i="33"/>
  <c r="I257" i="33"/>
  <c r="H258" i="33"/>
  <c r="I258" i="33"/>
  <c r="H259" i="33"/>
  <c r="I259" i="33"/>
  <c r="H260" i="33"/>
  <c r="I260" i="33"/>
  <c r="H261" i="33"/>
  <c r="I261" i="33"/>
  <c r="H262" i="33"/>
  <c r="I262" i="33"/>
  <c r="H263" i="33"/>
  <c r="I263" i="33"/>
  <c r="H264" i="33"/>
  <c r="I264" i="33"/>
  <c r="H265" i="33"/>
  <c r="I265" i="33"/>
  <c r="H266" i="33"/>
  <c r="I266" i="33"/>
  <c r="H267" i="33"/>
  <c r="I267" i="33"/>
  <c r="H268" i="33"/>
  <c r="I268" i="33"/>
  <c r="H269" i="33"/>
  <c r="I269" i="33"/>
  <c r="H270" i="33"/>
  <c r="I270" i="33"/>
  <c r="H271" i="33"/>
  <c r="I271" i="33"/>
  <c r="H272" i="33"/>
  <c r="I272" i="33"/>
  <c r="H273" i="33"/>
  <c r="I273" i="33"/>
  <c r="H274" i="33"/>
  <c r="I274" i="33"/>
  <c r="H275" i="33"/>
  <c r="I275" i="33"/>
  <c r="H276" i="33"/>
  <c r="I276" i="33"/>
  <c r="H277" i="33"/>
  <c r="I277" i="33"/>
  <c r="H278" i="33"/>
  <c r="I278" i="33"/>
  <c r="H279" i="33"/>
  <c r="I279" i="33"/>
  <c r="H280" i="33"/>
  <c r="I280" i="33"/>
  <c r="H281" i="33"/>
  <c r="I281" i="33"/>
  <c r="H282" i="33"/>
  <c r="I282" i="33"/>
  <c r="H283" i="33"/>
  <c r="I283" i="33"/>
  <c r="H284" i="33"/>
  <c r="I284" i="33"/>
  <c r="H285" i="33"/>
  <c r="I285" i="33"/>
  <c r="H286" i="33"/>
  <c r="I286" i="33"/>
  <c r="H287" i="33"/>
  <c r="I287" i="33"/>
  <c r="H288" i="33"/>
  <c r="I288" i="33"/>
  <c r="H7" i="8"/>
  <c r="I7" i="8"/>
  <c r="H8" i="8"/>
  <c r="I8" i="8"/>
  <c r="H9" i="8"/>
  <c r="I9" i="8"/>
  <c r="H10" i="8"/>
  <c r="I10" i="8"/>
  <c r="H11" i="8"/>
  <c r="I11" i="8"/>
  <c r="H12" i="8"/>
  <c r="I12" i="8"/>
  <c r="H13" i="8"/>
  <c r="I13" i="8"/>
  <c r="H14" i="8"/>
  <c r="I14" i="8"/>
  <c r="H15" i="8"/>
  <c r="I15" i="8"/>
  <c r="H16" i="8"/>
  <c r="I16" i="8"/>
  <c r="H23" i="8"/>
  <c r="I23" i="8"/>
  <c r="H24" i="8"/>
  <c r="I24" i="8"/>
  <c r="H25" i="8"/>
  <c r="I25" i="8"/>
  <c r="H26" i="8"/>
  <c r="I26" i="8"/>
  <c r="H27" i="8"/>
  <c r="I27" i="8"/>
  <c r="H28" i="8"/>
  <c r="I28" i="8"/>
  <c r="H29" i="8"/>
  <c r="I29" i="8"/>
  <c r="H30" i="8"/>
  <c r="I30" i="8"/>
  <c r="H31" i="8"/>
  <c r="I31" i="8"/>
  <c r="H32" i="8"/>
  <c r="I32" i="8"/>
  <c r="H39" i="8"/>
  <c r="I39" i="8"/>
  <c r="H42" i="8"/>
  <c r="I42" i="8"/>
  <c r="H44" i="8"/>
  <c r="I44" i="8"/>
  <c r="H48" i="8"/>
  <c r="I48" i="8"/>
  <c r="H49" i="8"/>
  <c r="I49" i="8"/>
  <c r="H50" i="8"/>
  <c r="I50" i="8"/>
  <c r="H51" i="8"/>
  <c r="I51" i="8"/>
  <c r="H52" i="8"/>
  <c r="I52" i="8"/>
  <c r="H53" i="8"/>
  <c r="I53" i="8"/>
  <c r="H54" i="8"/>
  <c r="I54" i="8"/>
  <c r="H55" i="8"/>
  <c r="I55" i="8"/>
  <c r="H56" i="8"/>
  <c r="I56" i="8"/>
  <c r="H57" i="8"/>
  <c r="I57" i="8"/>
  <c r="H58" i="8"/>
  <c r="I58" i="8"/>
  <c r="H59" i="8"/>
  <c r="I59" i="8"/>
  <c r="H60" i="8"/>
  <c r="I60" i="8"/>
  <c r="H61" i="8"/>
  <c r="I61" i="8"/>
  <c r="H62" i="8"/>
  <c r="I62" i="8"/>
  <c r="H63" i="8"/>
  <c r="I63" i="8"/>
  <c r="H64" i="8"/>
  <c r="I64" i="8"/>
  <c r="H65" i="8"/>
  <c r="I65" i="8"/>
  <c r="H66" i="8"/>
  <c r="I66" i="8"/>
  <c r="H67" i="8"/>
  <c r="I67" i="8"/>
  <c r="H68" i="8"/>
  <c r="I68" i="8"/>
  <c r="H69" i="8"/>
  <c r="I69" i="8"/>
  <c r="H70" i="8"/>
  <c r="I70" i="8"/>
  <c r="H71" i="8"/>
  <c r="I71" i="8"/>
  <c r="H72" i="8"/>
  <c r="I72" i="8"/>
  <c r="H73" i="8"/>
  <c r="I73" i="8"/>
  <c r="H74" i="8"/>
  <c r="I74" i="8"/>
  <c r="H75" i="8"/>
  <c r="I75" i="8"/>
  <c r="H76" i="8"/>
  <c r="I76" i="8"/>
  <c r="H77" i="8"/>
  <c r="I77" i="8"/>
  <c r="H78" i="8"/>
  <c r="I78" i="8"/>
  <c r="H79" i="8"/>
  <c r="I79" i="8"/>
  <c r="H80" i="8"/>
  <c r="I80" i="8"/>
  <c r="H81" i="8"/>
  <c r="I81" i="8"/>
  <c r="H82" i="8"/>
  <c r="I82" i="8"/>
  <c r="H84" i="8"/>
  <c r="I84" i="8"/>
  <c r="H85" i="8"/>
  <c r="I85" i="8"/>
  <c r="H86" i="8"/>
  <c r="I86" i="8"/>
  <c r="H87" i="8"/>
  <c r="I87" i="8"/>
  <c r="H89" i="8"/>
  <c r="I89" i="8"/>
  <c r="H90" i="8"/>
  <c r="I90" i="8"/>
  <c r="H91" i="8"/>
  <c r="I91" i="8"/>
  <c r="H92" i="8"/>
  <c r="I92" i="8"/>
  <c r="H93" i="8"/>
  <c r="I93" i="8"/>
  <c r="H94" i="8"/>
  <c r="I94" i="8"/>
  <c r="H95" i="8"/>
  <c r="I95" i="8"/>
  <c r="H96" i="8"/>
  <c r="I96" i="8"/>
  <c r="H99" i="8"/>
  <c r="I99" i="8"/>
  <c r="H100" i="8"/>
  <c r="I100" i="8"/>
  <c r="H101" i="8"/>
  <c r="I101" i="8"/>
  <c r="H102" i="8"/>
  <c r="I102" i="8"/>
  <c r="H103" i="8"/>
  <c r="I103" i="8"/>
  <c r="H104" i="8"/>
  <c r="I104" i="8"/>
  <c r="H105" i="8"/>
  <c r="I105" i="8"/>
  <c r="H106" i="8"/>
  <c r="I106" i="8"/>
  <c r="H107" i="8"/>
  <c r="I107" i="8"/>
  <c r="H108" i="8"/>
  <c r="I108" i="8"/>
  <c r="H109" i="8"/>
  <c r="I109" i="8"/>
  <c r="H110" i="8"/>
  <c r="I110" i="8"/>
  <c r="H111" i="8"/>
  <c r="I111" i="8"/>
  <c r="H112" i="8"/>
  <c r="I112" i="8"/>
  <c r="H113" i="8"/>
  <c r="I113" i="8"/>
  <c r="H114" i="8"/>
  <c r="I114" i="8"/>
  <c r="H118" i="8"/>
  <c r="I118" i="8"/>
  <c r="H119" i="8"/>
  <c r="I119" i="8"/>
  <c r="H125" i="8"/>
  <c r="I125" i="8"/>
  <c r="H126" i="8"/>
  <c r="I126" i="8"/>
  <c r="H127" i="8"/>
  <c r="I127" i="8"/>
  <c r="H128" i="8"/>
  <c r="I128" i="8"/>
  <c r="H129" i="8"/>
  <c r="I129" i="8"/>
  <c r="H130" i="8"/>
  <c r="I130" i="8"/>
  <c r="H131" i="8"/>
  <c r="I131" i="8"/>
  <c r="H132" i="8"/>
  <c r="I132" i="8"/>
  <c r="H133" i="8"/>
  <c r="I133" i="8"/>
  <c r="H134" i="8"/>
  <c r="I134" i="8"/>
  <c r="H135" i="8"/>
  <c r="I135" i="8"/>
  <c r="H136" i="8"/>
  <c r="I136" i="8"/>
  <c r="H137" i="8"/>
  <c r="I137" i="8"/>
  <c r="H138" i="8"/>
  <c r="I138" i="8"/>
  <c r="H140" i="8"/>
  <c r="I140" i="8"/>
  <c r="H141" i="8"/>
  <c r="I141" i="8"/>
  <c r="H142" i="8"/>
  <c r="I142" i="8"/>
  <c r="H143" i="8"/>
  <c r="I143" i="8"/>
  <c r="H144" i="8"/>
  <c r="I144" i="8"/>
  <c r="H145" i="8"/>
  <c r="I145" i="8"/>
  <c r="H146" i="8"/>
  <c r="I146" i="8"/>
  <c r="H147" i="8"/>
  <c r="I147" i="8"/>
  <c r="H148" i="8"/>
  <c r="I148" i="8"/>
  <c r="H149" i="8"/>
  <c r="I149" i="8"/>
  <c r="H150" i="8"/>
  <c r="I150" i="8"/>
  <c r="H151" i="8"/>
  <c r="I151" i="8"/>
  <c r="H152" i="8"/>
  <c r="I152" i="8"/>
  <c r="H153" i="8"/>
  <c r="I153" i="8"/>
  <c r="H154" i="8"/>
  <c r="I154" i="8"/>
  <c r="H155" i="8"/>
  <c r="I155" i="8"/>
  <c r="H156" i="8"/>
  <c r="I156" i="8"/>
  <c r="H157" i="8"/>
  <c r="I157" i="8"/>
  <c r="H158" i="8"/>
  <c r="I158" i="8"/>
  <c r="H159" i="8"/>
  <c r="I159" i="8"/>
  <c r="H160" i="8"/>
  <c r="I160" i="8"/>
  <c r="H161" i="8"/>
  <c r="I161" i="8"/>
  <c r="H162" i="8"/>
  <c r="I162" i="8"/>
  <c r="H163" i="8"/>
  <c r="I163" i="8"/>
  <c r="H164" i="8"/>
  <c r="I164" i="8"/>
  <c r="H165" i="8"/>
  <c r="I165" i="8"/>
  <c r="H166" i="8"/>
  <c r="I166" i="8"/>
  <c r="H167" i="8"/>
  <c r="I167" i="8"/>
  <c r="H168" i="8"/>
  <c r="I168" i="8"/>
  <c r="H169" i="8"/>
  <c r="I169" i="8"/>
  <c r="H170" i="8"/>
  <c r="I170" i="8"/>
  <c r="H171" i="8"/>
  <c r="I171" i="8"/>
  <c r="H172" i="8"/>
  <c r="I172" i="8"/>
  <c r="I173" i="8"/>
  <c r="I174" i="8"/>
  <c r="I175" i="8"/>
  <c r="I176" i="8"/>
  <c r="I177" i="8"/>
  <c r="I178" i="8"/>
  <c r="H179" i="8"/>
  <c r="I179" i="8"/>
  <c r="H180" i="8"/>
  <c r="I180" i="8"/>
  <c r="H181" i="8"/>
  <c r="I181" i="8"/>
  <c r="H182" i="8"/>
  <c r="I182" i="8"/>
  <c r="H183" i="8"/>
  <c r="I183" i="8"/>
  <c r="H184" i="8"/>
  <c r="I184" i="8"/>
  <c r="H185" i="8"/>
  <c r="I185" i="8"/>
  <c r="H186" i="8"/>
  <c r="I186" i="8"/>
  <c r="H187" i="8"/>
  <c r="I187" i="8"/>
  <c r="H188" i="8"/>
  <c r="I188" i="8"/>
  <c r="H189" i="8"/>
  <c r="I189" i="8"/>
  <c r="H190" i="8"/>
  <c r="I190" i="8"/>
  <c r="H191" i="8"/>
  <c r="I191" i="8"/>
  <c r="H192" i="8"/>
  <c r="I192" i="8"/>
  <c r="H193" i="8"/>
  <c r="I193" i="8"/>
  <c r="H194" i="8"/>
  <c r="I194" i="8"/>
  <c r="H195" i="8"/>
  <c r="I195" i="8"/>
  <c r="H196" i="8"/>
  <c r="I196" i="8"/>
  <c r="H197" i="8"/>
  <c r="I197" i="8"/>
  <c r="H198" i="8"/>
  <c r="I198" i="8"/>
  <c r="H199" i="8"/>
  <c r="I199" i="8"/>
  <c r="H200" i="8"/>
  <c r="I200" i="8"/>
  <c r="H201" i="8"/>
  <c r="I201" i="8"/>
  <c r="H202" i="8"/>
  <c r="I202" i="8"/>
  <c r="H203" i="8"/>
  <c r="I203" i="8"/>
  <c r="H204" i="8"/>
  <c r="I204" i="8"/>
  <c r="H205" i="8"/>
  <c r="I205" i="8"/>
  <c r="H206" i="8"/>
  <c r="I206" i="8"/>
  <c r="H207" i="8"/>
  <c r="I207" i="8"/>
  <c r="H208" i="8"/>
  <c r="I208" i="8"/>
  <c r="H209" i="8"/>
  <c r="I209" i="8"/>
  <c r="H210" i="8"/>
  <c r="I210" i="8"/>
  <c r="H211" i="8"/>
  <c r="I211" i="8"/>
  <c r="H212" i="8"/>
  <c r="I212" i="8"/>
  <c r="H213" i="8"/>
  <c r="I213" i="8"/>
  <c r="H214" i="8"/>
  <c r="I214" i="8"/>
  <c r="H215" i="8"/>
  <c r="I215" i="8"/>
  <c r="H216" i="8"/>
  <c r="I216" i="8"/>
  <c r="H217" i="8"/>
  <c r="I217" i="8"/>
  <c r="H218" i="8"/>
  <c r="I218" i="8"/>
  <c r="H219" i="8"/>
  <c r="I219" i="8"/>
  <c r="H220" i="8"/>
  <c r="I220" i="8"/>
  <c r="H221" i="8"/>
  <c r="I221" i="8"/>
  <c r="H222" i="8"/>
  <c r="I222" i="8"/>
  <c r="H223" i="8"/>
  <c r="I223" i="8"/>
  <c r="H224" i="8"/>
  <c r="I224" i="8"/>
  <c r="H225" i="8"/>
  <c r="I225" i="8"/>
  <c r="H226" i="8"/>
  <c r="I226" i="8"/>
  <c r="H227" i="8"/>
  <c r="I227" i="8"/>
  <c r="H228" i="8"/>
  <c r="I228" i="8"/>
  <c r="H229" i="8"/>
  <c r="I229" i="8"/>
  <c r="H230" i="8"/>
  <c r="I230" i="8"/>
  <c r="H231" i="8"/>
  <c r="I231" i="8"/>
  <c r="H232" i="8"/>
  <c r="I232" i="8"/>
  <c r="H233" i="8"/>
  <c r="I233" i="8"/>
  <c r="H234" i="8"/>
  <c r="I234" i="8"/>
  <c r="H235" i="8"/>
  <c r="I235" i="8"/>
  <c r="H236" i="8"/>
  <c r="I236" i="8"/>
  <c r="H237" i="8"/>
  <c r="I237" i="8"/>
  <c r="H238" i="8"/>
  <c r="I238" i="8"/>
  <c r="H239" i="8"/>
  <c r="I239" i="8"/>
  <c r="H240" i="8"/>
  <c r="I240" i="8"/>
  <c r="H241" i="8"/>
  <c r="I241" i="8"/>
  <c r="H242" i="8"/>
  <c r="I242" i="8"/>
  <c r="H243" i="8"/>
  <c r="I243" i="8"/>
  <c r="H244" i="8"/>
  <c r="I244" i="8"/>
  <c r="H245" i="8"/>
  <c r="I245" i="8"/>
  <c r="H246" i="8"/>
  <c r="I246" i="8"/>
  <c r="H247" i="8"/>
  <c r="I247" i="8"/>
  <c r="H248" i="8"/>
  <c r="I248" i="8"/>
  <c r="H249" i="8"/>
  <c r="I249" i="8"/>
  <c r="H250" i="8"/>
  <c r="I250" i="8"/>
  <c r="H251" i="8"/>
  <c r="I251" i="8"/>
  <c r="H252" i="8"/>
  <c r="I252" i="8"/>
  <c r="H253" i="8"/>
  <c r="I253" i="8"/>
  <c r="H254" i="8"/>
  <c r="I254" i="8"/>
  <c r="H255" i="8"/>
  <c r="I255" i="8"/>
  <c r="H256" i="8"/>
  <c r="I256" i="8"/>
  <c r="H257" i="8"/>
  <c r="I257" i="8"/>
  <c r="H258" i="8"/>
  <c r="I258" i="8"/>
  <c r="H259" i="8"/>
  <c r="I259" i="8"/>
  <c r="H260" i="8"/>
  <c r="I260" i="8"/>
  <c r="H261" i="8"/>
  <c r="I261" i="8"/>
  <c r="H262" i="8"/>
  <c r="I262" i="8"/>
  <c r="H263" i="8"/>
  <c r="I263" i="8"/>
  <c r="H264" i="8"/>
  <c r="I264" i="8"/>
  <c r="H265" i="8"/>
  <c r="I265" i="8"/>
  <c r="H266" i="8"/>
  <c r="I266" i="8"/>
  <c r="H267" i="8"/>
  <c r="I267" i="8"/>
  <c r="H268" i="8"/>
  <c r="I268" i="8"/>
  <c r="H269" i="8"/>
  <c r="I269" i="8"/>
  <c r="H270" i="8"/>
  <c r="I270" i="8"/>
  <c r="H271" i="8"/>
  <c r="I271" i="8"/>
  <c r="H272" i="8"/>
  <c r="I272" i="8"/>
  <c r="H273" i="8"/>
  <c r="I273" i="8"/>
  <c r="H274" i="8"/>
  <c r="I274" i="8"/>
  <c r="H275" i="8"/>
  <c r="I275" i="8"/>
  <c r="H276" i="8"/>
  <c r="I276" i="8"/>
  <c r="H277" i="8"/>
  <c r="I277" i="8"/>
  <c r="H278" i="8"/>
  <c r="I278" i="8"/>
  <c r="H279" i="8"/>
  <c r="I279" i="8"/>
  <c r="H280" i="8"/>
  <c r="I280" i="8"/>
  <c r="H281" i="8"/>
  <c r="I281" i="8"/>
  <c r="H282" i="8"/>
  <c r="I282" i="8"/>
  <c r="H283" i="8"/>
  <c r="I283" i="8"/>
  <c r="H284" i="8"/>
  <c r="I284" i="8"/>
  <c r="H285" i="8"/>
  <c r="I285" i="8"/>
  <c r="H286" i="8"/>
  <c r="I286" i="8"/>
  <c r="H287" i="8"/>
  <c r="I287" i="8"/>
  <c r="H288" i="8"/>
  <c r="I288" i="8"/>
  <c r="H7" i="34"/>
  <c r="I7" i="34"/>
  <c r="H8" i="34"/>
  <c r="I8" i="34"/>
  <c r="H9" i="34"/>
  <c r="I9" i="34"/>
  <c r="H10" i="34"/>
  <c r="I10" i="34"/>
  <c r="H11" i="34"/>
  <c r="I11" i="34"/>
  <c r="H12" i="34"/>
  <c r="I12" i="34"/>
  <c r="H13" i="34"/>
  <c r="I13" i="34"/>
  <c r="H14" i="34"/>
  <c r="I14" i="34"/>
  <c r="H15" i="34"/>
  <c r="I15" i="34"/>
  <c r="H16" i="34"/>
  <c r="I16" i="34"/>
  <c r="H23" i="34"/>
  <c r="I23" i="34"/>
  <c r="H24" i="34"/>
  <c r="I24" i="34"/>
  <c r="H25" i="34"/>
  <c r="I25" i="34"/>
  <c r="H26" i="34"/>
  <c r="I26" i="34"/>
  <c r="H27" i="34"/>
  <c r="I27" i="34"/>
  <c r="H28" i="34"/>
  <c r="I28" i="34"/>
  <c r="H29" i="34"/>
  <c r="I29" i="34"/>
  <c r="H30" i="34"/>
  <c r="I30" i="34"/>
  <c r="H31" i="34"/>
  <c r="I31" i="34"/>
  <c r="H32" i="34"/>
  <c r="I32" i="34"/>
  <c r="H39" i="34"/>
  <c r="I39" i="34"/>
  <c r="H42" i="34"/>
  <c r="I42" i="34"/>
  <c r="H44" i="34"/>
  <c r="I44" i="34"/>
  <c r="H48" i="34"/>
  <c r="I48" i="34"/>
  <c r="H49" i="34"/>
  <c r="I49" i="34"/>
  <c r="H50" i="34"/>
  <c r="I50" i="34"/>
  <c r="H51" i="34"/>
  <c r="I51" i="34"/>
  <c r="H52" i="34"/>
  <c r="I52" i="34"/>
  <c r="H53" i="34"/>
  <c r="I53" i="34"/>
  <c r="H54" i="34"/>
  <c r="I54" i="34"/>
  <c r="H55" i="34"/>
  <c r="I55" i="34"/>
  <c r="H56" i="34"/>
  <c r="I56" i="34"/>
  <c r="H57" i="34"/>
  <c r="I57" i="34"/>
  <c r="H58" i="34"/>
  <c r="I58" i="34"/>
  <c r="H59" i="34"/>
  <c r="I59" i="34"/>
  <c r="H60" i="34"/>
  <c r="I60" i="34"/>
  <c r="H61" i="34"/>
  <c r="I61" i="34"/>
  <c r="H62" i="34"/>
  <c r="I62" i="34"/>
  <c r="H63" i="34"/>
  <c r="I63" i="34"/>
  <c r="H64" i="34"/>
  <c r="I64" i="34"/>
  <c r="H65" i="34"/>
  <c r="I65" i="34"/>
  <c r="H66" i="34"/>
  <c r="I66" i="34"/>
  <c r="H67" i="34"/>
  <c r="I67" i="34"/>
  <c r="H68" i="34"/>
  <c r="I68" i="34"/>
  <c r="H69" i="34"/>
  <c r="I69" i="34"/>
  <c r="H70" i="34"/>
  <c r="I70" i="34"/>
  <c r="H71" i="34"/>
  <c r="I71" i="34"/>
  <c r="H72" i="34"/>
  <c r="I72" i="34"/>
  <c r="H73" i="34"/>
  <c r="I73" i="34"/>
  <c r="H74" i="34"/>
  <c r="I74" i="34"/>
  <c r="H75" i="34"/>
  <c r="I75" i="34"/>
  <c r="H76" i="34"/>
  <c r="I76" i="34"/>
  <c r="H77" i="34"/>
  <c r="I77" i="34"/>
  <c r="H78" i="34"/>
  <c r="I78" i="34"/>
  <c r="H79" i="34"/>
  <c r="I79" i="34"/>
  <c r="H80" i="34"/>
  <c r="I80" i="34"/>
  <c r="H81" i="34"/>
  <c r="I81" i="34"/>
  <c r="H82" i="34"/>
  <c r="I82" i="34"/>
  <c r="H84" i="34"/>
  <c r="I84" i="34"/>
  <c r="H85" i="34"/>
  <c r="I85" i="34"/>
  <c r="H86" i="34"/>
  <c r="I86" i="34"/>
  <c r="H87" i="34"/>
  <c r="I87" i="34"/>
  <c r="H89" i="34"/>
  <c r="I89" i="34"/>
  <c r="H90" i="34"/>
  <c r="I90" i="34"/>
  <c r="H91" i="34"/>
  <c r="I91" i="34"/>
  <c r="H92" i="34"/>
  <c r="I92" i="34"/>
  <c r="H93" i="34"/>
  <c r="I93" i="34"/>
  <c r="H94" i="34"/>
  <c r="I94" i="34"/>
  <c r="H95" i="34"/>
  <c r="I95" i="34"/>
  <c r="H96" i="34"/>
  <c r="I96" i="34"/>
  <c r="H99" i="34"/>
  <c r="I99" i="34"/>
  <c r="H100" i="34"/>
  <c r="I100" i="34"/>
  <c r="H101" i="34"/>
  <c r="I101" i="34"/>
  <c r="H102" i="34"/>
  <c r="I102" i="34"/>
  <c r="H103" i="34"/>
  <c r="I103" i="34"/>
  <c r="H104" i="34"/>
  <c r="I104" i="34"/>
  <c r="H105" i="34"/>
  <c r="I105" i="34"/>
  <c r="H106" i="34"/>
  <c r="I106" i="34"/>
  <c r="H107" i="34"/>
  <c r="I107" i="34"/>
  <c r="H108" i="34"/>
  <c r="I108" i="34"/>
  <c r="H109" i="34"/>
  <c r="I109" i="34"/>
  <c r="H110" i="34"/>
  <c r="I110" i="34"/>
  <c r="H111" i="34"/>
  <c r="I111" i="34"/>
  <c r="H112" i="34"/>
  <c r="I112" i="34"/>
  <c r="H113" i="34"/>
  <c r="I113" i="34"/>
  <c r="H114" i="34"/>
  <c r="I114" i="34"/>
  <c r="H118" i="34"/>
  <c r="I118" i="34"/>
  <c r="H119" i="34"/>
  <c r="I119" i="34"/>
  <c r="H125" i="34"/>
  <c r="I125" i="34"/>
  <c r="H126" i="34"/>
  <c r="I126" i="34"/>
  <c r="H127" i="34"/>
  <c r="I127" i="34"/>
  <c r="H128" i="34"/>
  <c r="I128" i="34"/>
  <c r="H129" i="34"/>
  <c r="I129" i="34"/>
  <c r="H130" i="34"/>
  <c r="I130" i="34"/>
  <c r="H131" i="34"/>
  <c r="I131" i="34"/>
  <c r="H132" i="34"/>
  <c r="I132" i="34"/>
  <c r="H133" i="34"/>
  <c r="I133" i="34"/>
  <c r="H134" i="34"/>
  <c r="I134" i="34"/>
  <c r="H135" i="34"/>
  <c r="I135" i="34"/>
  <c r="H136" i="34"/>
  <c r="I136" i="34"/>
  <c r="H137" i="34"/>
  <c r="I137" i="34"/>
  <c r="H138" i="34"/>
  <c r="I138" i="34"/>
  <c r="H140" i="34"/>
  <c r="I140" i="34"/>
  <c r="H141" i="34"/>
  <c r="I141" i="34"/>
  <c r="H142" i="34"/>
  <c r="I142" i="34"/>
  <c r="H143" i="34"/>
  <c r="I143" i="34"/>
  <c r="H144" i="34"/>
  <c r="I144" i="34"/>
  <c r="H145" i="34"/>
  <c r="I145" i="34"/>
  <c r="H146" i="34"/>
  <c r="I146" i="34"/>
  <c r="H147" i="34"/>
  <c r="I147" i="34"/>
  <c r="H148" i="34"/>
  <c r="I148" i="34"/>
  <c r="H149" i="34"/>
  <c r="I149" i="34"/>
  <c r="H150" i="34"/>
  <c r="I150" i="34"/>
  <c r="H151" i="34"/>
  <c r="I151" i="34"/>
  <c r="H152" i="34"/>
  <c r="I152" i="34"/>
  <c r="H153" i="34"/>
  <c r="I153" i="34"/>
  <c r="H154" i="34"/>
  <c r="I154" i="34"/>
  <c r="H155" i="34"/>
  <c r="I155" i="34"/>
  <c r="H156" i="34"/>
  <c r="I156" i="34"/>
  <c r="H157" i="34"/>
  <c r="I157" i="34"/>
  <c r="H158" i="34"/>
  <c r="I158" i="34"/>
  <c r="H159" i="34"/>
  <c r="I159" i="34"/>
  <c r="H160" i="34"/>
  <c r="I160" i="34"/>
  <c r="H161" i="34"/>
  <c r="I161" i="34"/>
  <c r="H162" i="34"/>
  <c r="I162" i="34"/>
  <c r="H163" i="34"/>
  <c r="I163" i="34"/>
  <c r="H164" i="34"/>
  <c r="I164" i="34"/>
  <c r="H165" i="34"/>
  <c r="I165" i="34"/>
  <c r="H166" i="34"/>
  <c r="I166" i="34"/>
  <c r="H167" i="34"/>
  <c r="I167" i="34"/>
  <c r="H168" i="34"/>
  <c r="I168" i="34"/>
  <c r="H169" i="34"/>
  <c r="I169" i="34"/>
  <c r="H170" i="34"/>
  <c r="I170" i="34"/>
  <c r="H171" i="34"/>
  <c r="I171" i="34"/>
  <c r="H172" i="34"/>
  <c r="I172" i="34"/>
  <c r="H173" i="34"/>
  <c r="I173" i="34"/>
  <c r="H174" i="34"/>
  <c r="I174" i="34"/>
  <c r="H175" i="34"/>
  <c r="I175" i="34"/>
  <c r="H176" i="34"/>
  <c r="I176" i="34"/>
  <c r="H177" i="34"/>
  <c r="I177" i="34"/>
  <c r="H178" i="34"/>
  <c r="I178" i="34"/>
  <c r="H179" i="34"/>
  <c r="I179" i="34"/>
  <c r="H180" i="34"/>
  <c r="I180" i="34"/>
  <c r="H181" i="34"/>
  <c r="I181" i="34"/>
  <c r="H182" i="34"/>
  <c r="I182" i="34"/>
  <c r="H183" i="34"/>
  <c r="I183" i="34"/>
  <c r="H184" i="34"/>
  <c r="I184" i="34"/>
  <c r="H185" i="34"/>
  <c r="I185" i="34"/>
  <c r="H186" i="34"/>
  <c r="I186" i="34"/>
  <c r="H187" i="34"/>
  <c r="I187" i="34"/>
  <c r="H188" i="34"/>
  <c r="I188" i="34"/>
  <c r="H189" i="34"/>
  <c r="I189" i="34"/>
  <c r="H190" i="34"/>
  <c r="I190" i="34"/>
  <c r="H191" i="34"/>
  <c r="I191" i="34"/>
  <c r="H192" i="34"/>
  <c r="I192" i="34"/>
  <c r="H193" i="34"/>
  <c r="I193" i="34"/>
  <c r="H194" i="34"/>
  <c r="I194" i="34"/>
  <c r="H195" i="34"/>
  <c r="I195" i="34"/>
  <c r="H196" i="34"/>
  <c r="I196" i="34"/>
  <c r="H197" i="34"/>
  <c r="I197" i="34"/>
  <c r="H198" i="34"/>
  <c r="I198" i="34"/>
  <c r="H199" i="34"/>
  <c r="I199" i="34"/>
  <c r="H200" i="34"/>
  <c r="I200" i="34"/>
  <c r="H201" i="34"/>
  <c r="I201" i="34"/>
  <c r="H202" i="34"/>
  <c r="I202" i="34"/>
  <c r="H203" i="34"/>
  <c r="I203" i="34"/>
  <c r="H204" i="34"/>
  <c r="I204" i="34"/>
  <c r="H205" i="34"/>
  <c r="I205" i="34"/>
  <c r="H206" i="34"/>
  <c r="I206" i="34"/>
  <c r="H207" i="34"/>
  <c r="I207" i="34"/>
  <c r="H208" i="34"/>
  <c r="I208" i="34"/>
  <c r="H209" i="34"/>
  <c r="I209" i="34"/>
  <c r="H210" i="34"/>
  <c r="I210" i="34"/>
  <c r="H211" i="34"/>
  <c r="I211" i="34"/>
  <c r="H212" i="34"/>
  <c r="I212" i="34"/>
  <c r="H213" i="34"/>
  <c r="I213" i="34"/>
  <c r="H214" i="34"/>
  <c r="I214" i="34"/>
  <c r="H215" i="34"/>
  <c r="I215" i="34"/>
  <c r="H216" i="34"/>
  <c r="I216" i="34"/>
  <c r="H217" i="34"/>
  <c r="I217" i="34"/>
  <c r="H218" i="34"/>
  <c r="I218" i="34"/>
  <c r="H219" i="34"/>
  <c r="I219" i="34"/>
  <c r="H220" i="34"/>
  <c r="I220" i="34"/>
  <c r="H221" i="34"/>
  <c r="I221" i="34"/>
  <c r="H222" i="34"/>
  <c r="I222" i="34"/>
  <c r="H223" i="34"/>
  <c r="I223" i="34"/>
  <c r="H224" i="34"/>
  <c r="I224" i="34"/>
  <c r="H225" i="34"/>
  <c r="I225" i="34"/>
  <c r="H226" i="34"/>
  <c r="I226" i="34"/>
  <c r="H227" i="34"/>
  <c r="I227" i="34"/>
  <c r="H228" i="34"/>
  <c r="I228" i="34"/>
  <c r="H229" i="34"/>
  <c r="I229" i="34"/>
  <c r="H230" i="34"/>
  <c r="I230" i="34"/>
  <c r="H231" i="34"/>
  <c r="I231" i="34"/>
  <c r="H232" i="34"/>
  <c r="I232" i="34"/>
  <c r="H233" i="34"/>
  <c r="I233" i="34"/>
  <c r="H234" i="34"/>
  <c r="I234" i="34"/>
  <c r="H235" i="34"/>
  <c r="I235" i="34"/>
  <c r="H236" i="34"/>
  <c r="I236" i="34"/>
  <c r="H237" i="34"/>
  <c r="I237" i="34"/>
  <c r="H238" i="34"/>
  <c r="I238" i="34"/>
  <c r="H239" i="34"/>
  <c r="I239" i="34"/>
  <c r="H240" i="34"/>
  <c r="I240" i="34"/>
  <c r="H241" i="34"/>
  <c r="I241" i="34"/>
  <c r="H242" i="34"/>
  <c r="I242" i="34"/>
  <c r="H243" i="34"/>
  <c r="I243" i="34"/>
  <c r="H244" i="34"/>
  <c r="I244" i="34"/>
  <c r="H245" i="34"/>
  <c r="I245" i="34"/>
  <c r="H246" i="34"/>
  <c r="I246" i="34"/>
  <c r="H247" i="34"/>
  <c r="I247" i="34"/>
  <c r="H248" i="34"/>
  <c r="I248" i="34"/>
  <c r="H249" i="34"/>
  <c r="I249" i="34"/>
  <c r="H250" i="34"/>
  <c r="I250" i="34"/>
  <c r="H251" i="34"/>
  <c r="I251" i="34"/>
  <c r="H252" i="34"/>
  <c r="I252" i="34"/>
  <c r="H253" i="34"/>
  <c r="I253" i="34"/>
  <c r="H254" i="34"/>
  <c r="I254" i="34"/>
  <c r="H255" i="34"/>
  <c r="I255" i="34"/>
  <c r="H256" i="34"/>
  <c r="I256" i="34"/>
  <c r="H257" i="34"/>
  <c r="I257" i="34"/>
  <c r="H258" i="34"/>
  <c r="I258" i="34"/>
  <c r="H259" i="34"/>
  <c r="I259" i="34"/>
  <c r="H260" i="34"/>
  <c r="I260" i="34"/>
  <c r="H261" i="34"/>
  <c r="I261" i="34"/>
  <c r="H262" i="34"/>
  <c r="I262" i="34"/>
  <c r="H263" i="34"/>
  <c r="I263" i="34"/>
  <c r="H264" i="34"/>
  <c r="I264" i="34"/>
  <c r="H265" i="34"/>
  <c r="I265" i="34"/>
  <c r="H266" i="34"/>
  <c r="I266" i="34"/>
  <c r="H267" i="34"/>
  <c r="I267" i="34"/>
  <c r="H268" i="34"/>
  <c r="I268" i="34"/>
  <c r="H269" i="34"/>
  <c r="I269" i="34"/>
  <c r="H270" i="34"/>
  <c r="I270" i="34"/>
  <c r="H271" i="34"/>
  <c r="I271" i="34"/>
  <c r="H272" i="34"/>
  <c r="I272" i="34"/>
  <c r="H273" i="34"/>
  <c r="I273" i="34"/>
  <c r="H274" i="34"/>
  <c r="I274" i="34"/>
  <c r="H275" i="34"/>
  <c r="I275" i="34"/>
  <c r="H276" i="34"/>
  <c r="I276" i="34"/>
  <c r="H277" i="34"/>
  <c r="I277" i="34"/>
  <c r="H278" i="34"/>
  <c r="I278" i="34"/>
  <c r="H279" i="34"/>
  <c r="I279" i="34"/>
  <c r="H280" i="34"/>
  <c r="I280" i="34"/>
  <c r="H281" i="34"/>
  <c r="I281" i="34"/>
  <c r="H282" i="34"/>
  <c r="I282" i="34"/>
  <c r="H283" i="34"/>
  <c r="I283" i="34"/>
  <c r="H284" i="34"/>
  <c r="I284" i="34"/>
  <c r="H285" i="34"/>
  <c r="I285" i="34"/>
  <c r="H286" i="34"/>
  <c r="I286" i="34"/>
  <c r="H287" i="34"/>
  <c r="I287" i="34"/>
  <c r="H288" i="34"/>
  <c r="I288" i="34"/>
  <c r="H126" i="9"/>
  <c r="I126" i="9"/>
  <c r="H127" i="9"/>
  <c r="I127" i="9"/>
  <c r="H128" i="9"/>
  <c r="I128" i="9"/>
  <c r="H129" i="9"/>
  <c r="I129" i="9"/>
  <c r="H130" i="9"/>
  <c r="I130" i="9"/>
  <c r="H131" i="9"/>
  <c r="I131" i="9"/>
  <c r="H132" i="9"/>
  <c r="I132" i="9"/>
  <c r="H133" i="9"/>
  <c r="I133" i="9"/>
  <c r="H134" i="9"/>
  <c r="I134" i="9"/>
  <c r="H135" i="9"/>
  <c r="I135" i="9"/>
  <c r="H136" i="9"/>
  <c r="I136" i="9"/>
  <c r="H137" i="9"/>
  <c r="I137" i="9"/>
  <c r="H138" i="9"/>
  <c r="I138" i="9"/>
  <c r="H140" i="9"/>
  <c r="I140" i="9"/>
  <c r="H141" i="9"/>
  <c r="I141" i="9"/>
  <c r="H142" i="9"/>
  <c r="I142" i="9"/>
  <c r="H143" i="9"/>
  <c r="I143" i="9"/>
  <c r="H144" i="9"/>
  <c r="I144" i="9"/>
  <c r="H145" i="9"/>
  <c r="I145" i="9"/>
  <c r="H146" i="9"/>
  <c r="I146" i="9"/>
  <c r="H147" i="9"/>
  <c r="I147" i="9"/>
  <c r="H148" i="9"/>
  <c r="I148" i="9"/>
  <c r="H149" i="9"/>
  <c r="I149" i="9"/>
  <c r="H150" i="9"/>
  <c r="I150" i="9"/>
  <c r="H151" i="9"/>
  <c r="I151" i="9"/>
  <c r="H152" i="9"/>
  <c r="I152" i="9"/>
  <c r="H153" i="9"/>
  <c r="I153" i="9"/>
  <c r="H154" i="9"/>
  <c r="I154" i="9"/>
  <c r="H155" i="9"/>
  <c r="I155" i="9"/>
  <c r="H156" i="9"/>
  <c r="I156" i="9"/>
  <c r="H157" i="9"/>
  <c r="I157" i="9"/>
  <c r="H158" i="9"/>
  <c r="I158" i="9"/>
  <c r="H159" i="9"/>
  <c r="I159" i="9"/>
  <c r="H160" i="9"/>
  <c r="I160" i="9"/>
  <c r="H161" i="9"/>
  <c r="I161" i="9"/>
  <c r="H162" i="9"/>
  <c r="I162" i="9"/>
  <c r="H163" i="9"/>
  <c r="I163" i="9"/>
  <c r="H164" i="9"/>
  <c r="I164" i="9"/>
  <c r="H165" i="9"/>
  <c r="I165" i="9"/>
  <c r="H166" i="9"/>
  <c r="I166" i="9"/>
  <c r="H167" i="9"/>
  <c r="I167" i="9"/>
  <c r="H168" i="9"/>
  <c r="I168" i="9"/>
  <c r="H169" i="9"/>
  <c r="I169" i="9"/>
  <c r="H170" i="9"/>
  <c r="I170" i="9"/>
  <c r="H171" i="9"/>
  <c r="I171" i="9"/>
  <c r="H172" i="9"/>
  <c r="I172" i="9"/>
  <c r="H173" i="9"/>
  <c r="I173" i="9"/>
  <c r="H174" i="9"/>
  <c r="I174" i="9"/>
  <c r="H175" i="9"/>
  <c r="I175" i="9"/>
  <c r="H176" i="9"/>
  <c r="I176" i="9"/>
  <c r="H177" i="9"/>
  <c r="I177" i="9"/>
  <c r="H178" i="9"/>
  <c r="I178" i="9"/>
  <c r="H179" i="9"/>
  <c r="I179" i="9"/>
  <c r="H180" i="9"/>
  <c r="I180" i="9"/>
  <c r="H181" i="9"/>
  <c r="I181" i="9"/>
  <c r="H182" i="9"/>
  <c r="I182" i="9"/>
  <c r="H183" i="9"/>
  <c r="I183" i="9"/>
  <c r="H184" i="9"/>
  <c r="I184" i="9"/>
  <c r="H185" i="9"/>
  <c r="I185" i="9"/>
  <c r="H186" i="9"/>
  <c r="I186" i="9"/>
  <c r="H187" i="9"/>
  <c r="I187" i="9"/>
  <c r="H188" i="9"/>
  <c r="I188" i="9"/>
  <c r="H189" i="9"/>
  <c r="I189" i="9"/>
  <c r="H190" i="9"/>
  <c r="I190" i="9"/>
  <c r="H191" i="9"/>
  <c r="I191" i="9"/>
  <c r="H192" i="9"/>
  <c r="I192" i="9"/>
  <c r="H193" i="9"/>
  <c r="I193" i="9"/>
  <c r="H194" i="9"/>
  <c r="I194" i="9"/>
  <c r="H195" i="9"/>
  <c r="I195" i="9"/>
  <c r="H196" i="9"/>
  <c r="I196" i="9"/>
  <c r="H197" i="9"/>
  <c r="I197" i="9"/>
  <c r="H198" i="9"/>
  <c r="I198" i="9"/>
  <c r="H199" i="9"/>
  <c r="I199" i="9"/>
  <c r="H200" i="9"/>
  <c r="I200" i="9"/>
  <c r="H201" i="9"/>
  <c r="I201" i="9"/>
  <c r="H202" i="9"/>
  <c r="I202" i="9"/>
  <c r="H203" i="9"/>
  <c r="I203" i="9"/>
  <c r="H204" i="9"/>
  <c r="I204" i="9"/>
  <c r="H205" i="9"/>
  <c r="I205" i="9"/>
  <c r="H206" i="9"/>
  <c r="I206" i="9"/>
  <c r="H207" i="9"/>
  <c r="I207" i="9"/>
  <c r="H208" i="9"/>
  <c r="I208" i="9"/>
  <c r="H209" i="9"/>
  <c r="I209" i="9"/>
  <c r="H210" i="9"/>
  <c r="I210" i="9"/>
  <c r="H211" i="9"/>
  <c r="I211" i="9"/>
  <c r="H212" i="9"/>
  <c r="I212" i="9"/>
  <c r="H213" i="9"/>
  <c r="I213" i="9"/>
  <c r="H214" i="9"/>
  <c r="I214" i="9"/>
  <c r="H215" i="9"/>
  <c r="I215" i="9"/>
  <c r="H216" i="9"/>
  <c r="I216" i="9"/>
  <c r="H217" i="9"/>
  <c r="I217" i="9"/>
  <c r="H218" i="9"/>
  <c r="I218" i="9"/>
  <c r="H219" i="9"/>
  <c r="I219" i="9"/>
  <c r="H220" i="9"/>
  <c r="I220" i="9"/>
  <c r="H221" i="9"/>
  <c r="I221" i="9"/>
  <c r="H222" i="9"/>
  <c r="I222" i="9"/>
  <c r="H223" i="9"/>
  <c r="I223" i="9"/>
  <c r="H224" i="9"/>
  <c r="I224" i="9"/>
  <c r="H225" i="9"/>
  <c r="I225" i="9"/>
  <c r="H226" i="9"/>
  <c r="I226" i="9"/>
  <c r="H227" i="9"/>
  <c r="I227" i="9"/>
  <c r="H228" i="9"/>
  <c r="I228" i="9"/>
  <c r="H229" i="9"/>
  <c r="I229" i="9"/>
  <c r="H230" i="9"/>
  <c r="I230" i="9"/>
  <c r="H231" i="9"/>
  <c r="I231" i="9"/>
  <c r="H232" i="9"/>
  <c r="I232" i="9"/>
  <c r="H233" i="9"/>
  <c r="I233" i="9"/>
  <c r="H234" i="9"/>
  <c r="I234" i="9"/>
  <c r="H235" i="9"/>
  <c r="I235" i="9"/>
  <c r="H236" i="9"/>
  <c r="I236" i="9"/>
  <c r="H237" i="9"/>
  <c r="I237" i="9"/>
  <c r="H238" i="9"/>
  <c r="I238" i="9"/>
  <c r="H239" i="9"/>
  <c r="I239" i="9"/>
  <c r="H240" i="9"/>
  <c r="I240" i="9"/>
  <c r="H241" i="9"/>
  <c r="I241" i="9"/>
  <c r="H242" i="9"/>
  <c r="I242" i="9"/>
  <c r="H243" i="9"/>
  <c r="I243" i="9"/>
  <c r="H244" i="9"/>
  <c r="I244" i="9"/>
  <c r="H245" i="9"/>
  <c r="I245" i="9"/>
  <c r="H246" i="9"/>
  <c r="I246" i="9"/>
  <c r="H247" i="9"/>
  <c r="I247" i="9"/>
  <c r="H248" i="9"/>
  <c r="I248" i="9"/>
  <c r="H249" i="9"/>
  <c r="I249" i="9"/>
  <c r="H250" i="9"/>
  <c r="I250" i="9"/>
  <c r="H251" i="9"/>
  <c r="I251" i="9"/>
  <c r="H252" i="9"/>
  <c r="I252" i="9"/>
  <c r="H253" i="9"/>
  <c r="I253" i="9"/>
  <c r="H254" i="9"/>
  <c r="I254" i="9"/>
  <c r="H255" i="9"/>
  <c r="I255" i="9"/>
  <c r="H256" i="9"/>
  <c r="I256" i="9"/>
  <c r="H257" i="9"/>
  <c r="I257" i="9"/>
  <c r="H258" i="9"/>
  <c r="I258" i="9"/>
  <c r="H259" i="9"/>
  <c r="I259" i="9"/>
  <c r="H260" i="9"/>
  <c r="I260" i="9"/>
  <c r="H261" i="9"/>
  <c r="I261" i="9"/>
  <c r="H262" i="9"/>
  <c r="I262" i="9"/>
  <c r="H263" i="9"/>
  <c r="I263" i="9"/>
  <c r="H264" i="9"/>
  <c r="I264" i="9"/>
  <c r="H265" i="9"/>
  <c r="I265" i="9"/>
  <c r="H266" i="9"/>
  <c r="I266" i="9"/>
  <c r="H267" i="9"/>
  <c r="I267" i="9"/>
  <c r="H268" i="9"/>
  <c r="I268" i="9"/>
  <c r="H269" i="9"/>
  <c r="I269" i="9"/>
  <c r="H270" i="9"/>
  <c r="I270" i="9"/>
  <c r="H271" i="9"/>
  <c r="I271" i="9"/>
  <c r="H272" i="9"/>
  <c r="I272" i="9"/>
  <c r="H273" i="9"/>
  <c r="I273" i="9"/>
  <c r="H274" i="9"/>
  <c r="I274" i="9"/>
  <c r="H275" i="9"/>
  <c r="I275" i="9"/>
  <c r="H276" i="9"/>
  <c r="I276" i="9"/>
  <c r="H277" i="9"/>
  <c r="I277" i="9"/>
  <c r="H278" i="9"/>
  <c r="I278" i="9"/>
  <c r="H279" i="9"/>
  <c r="I279" i="9"/>
  <c r="H280" i="9"/>
  <c r="I280" i="9"/>
  <c r="H281" i="9"/>
  <c r="I281" i="9"/>
  <c r="H282" i="9"/>
  <c r="I282" i="9"/>
  <c r="H283" i="9"/>
  <c r="I283" i="9"/>
  <c r="H284" i="9"/>
  <c r="I284" i="9"/>
  <c r="H285" i="9"/>
  <c r="I285" i="9"/>
  <c r="H286" i="9"/>
  <c r="I286" i="9"/>
  <c r="H287" i="9"/>
  <c r="I287" i="9"/>
  <c r="H288" i="9"/>
  <c r="I288" i="9"/>
  <c r="I125" i="9"/>
  <c r="H125" i="9"/>
  <c r="H7" i="9"/>
  <c r="I7" i="9"/>
  <c r="H8" i="9"/>
  <c r="I8" i="9"/>
  <c r="H9" i="9"/>
  <c r="I9" i="9"/>
  <c r="H10" i="9"/>
  <c r="I10" i="9"/>
  <c r="H11" i="9"/>
  <c r="I11" i="9"/>
  <c r="H12" i="9"/>
  <c r="I12" i="9"/>
  <c r="H13" i="9"/>
  <c r="I13" i="9"/>
  <c r="H14" i="9"/>
  <c r="I14" i="9"/>
  <c r="H15" i="9"/>
  <c r="I15" i="9"/>
  <c r="H16" i="9"/>
  <c r="I16" i="9"/>
  <c r="H23" i="9"/>
  <c r="I23" i="9"/>
  <c r="H24" i="9"/>
  <c r="I24" i="9"/>
  <c r="H25" i="9"/>
  <c r="I25" i="9"/>
  <c r="H26" i="9"/>
  <c r="I26" i="9"/>
  <c r="H27" i="9"/>
  <c r="I27" i="9"/>
  <c r="H28" i="9"/>
  <c r="I28" i="9"/>
  <c r="H29" i="9"/>
  <c r="I29" i="9"/>
  <c r="H30" i="9"/>
  <c r="I30" i="9"/>
  <c r="H31" i="9"/>
  <c r="I31" i="9"/>
  <c r="H32" i="9"/>
  <c r="I32" i="9"/>
  <c r="H39" i="9"/>
  <c r="I39" i="9"/>
  <c r="H42" i="9"/>
  <c r="I42" i="9"/>
  <c r="H44" i="9"/>
  <c r="I44" i="9"/>
  <c r="H48" i="9"/>
  <c r="I48" i="9"/>
  <c r="H49" i="9"/>
  <c r="I49" i="9"/>
  <c r="H50" i="9"/>
  <c r="I50" i="9"/>
  <c r="H51" i="9"/>
  <c r="I51" i="9"/>
  <c r="H52" i="9"/>
  <c r="I52" i="9"/>
  <c r="H53" i="9"/>
  <c r="I53" i="9"/>
  <c r="H54" i="9"/>
  <c r="I54" i="9"/>
  <c r="H55" i="9"/>
  <c r="I55" i="9"/>
  <c r="H56" i="9"/>
  <c r="I56" i="9"/>
  <c r="H57" i="9"/>
  <c r="I57" i="9"/>
  <c r="H58" i="9"/>
  <c r="I58" i="9"/>
  <c r="H59" i="9"/>
  <c r="I59" i="9"/>
  <c r="H60" i="9"/>
  <c r="I60" i="9"/>
  <c r="H61" i="9"/>
  <c r="I61" i="9"/>
  <c r="H62" i="9"/>
  <c r="I62" i="9"/>
  <c r="H63" i="9"/>
  <c r="I63" i="9"/>
  <c r="H64" i="9"/>
  <c r="I64" i="9"/>
  <c r="H65" i="9"/>
  <c r="I65" i="9"/>
  <c r="H66" i="9"/>
  <c r="I66" i="9"/>
  <c r="H67" i="9"/>
  <c r="I67" i="9"/>
  <c r="H68" i="9"/>
  <c r="I68" i="9"/>
  <c r="H69" i="9"/>
  <c r="I69" i="9"/>
  <c r="H70" i="9"/>
  <c r="I70" i="9"/>
  <c r="H71" i="9"/>
  <c r="I71" i="9"/>
  <c r="H72" i="9"/>
  <c r="I72" i="9"/>
  <c r="H73" i="9"/>
  <c r="I73" i="9"/>
  <c r="H74" i="9"/>
  <c r="I74" i="9"/>
  <c r="H75" i="9"/>
  <c r="I75" i="9"/>
  <c r="H76" i="9"/>
  <c r="I76" i="9"/>
  <c r="H77" i="9"/>
  <c r="I77" i="9"/>
  <c r="H78" i="9"/>
  <c r="I78" i="9"/>
  <c r="H79" i="9"/>
  <c r="I79" i="9"/>
  <c r="H80" i="9"/>
  <c r="I80" i="9"/>
  <c r="H81" i="9"/>
  <c r="I81" i="9"/>
  <c r="H82" i="9"/>
  <c r="I82" i="9"/>
  <c r="H84" i="9"/>
  <c r="I84" i="9"/>
  <c r="H85" i="9"/>
  <c r="I85" i="9"/>
  <c r="H86" i="9"/>
  <c r="I86" i="9"/>
  <c r="H87" i="9"/>
  <c r="I87" i="9"/>
  <c r="H89" i="9"/>
  <c r="I89" i="9"/>
  <c r="H90" i="9"/>
  <c r="I90" i="9"/>
  <c r="H91" i="9"/>
  <c r="I91" i="9"/>
  <c r="H92" i="9"/>
  <c r="I92" i="9"/>
  <c r="H93" i="9"/>
  <c r="I93" i="9"/>
  <c r="H94" i="9"/>
  <c r="I94" i="9"/>
  <c r="H95" i="9"/>
  <c r="I95" i="9"/>
  <c r="H96" i="9"/>
  <c r="I96" i="9"/>
  <c r="H99" i="9"/>
  <c r="I99" i="9"/>
  <c r="H100" i="9"/>
  <c r="I100" i="9"/>
  <c r="H101" i="9"/>
  <c r="I101" i="9"/>
  <c r="H102" i="9"/>
  <c r="I102" i="9"/>
  <c r="H103" i="9"/>
  <c r="I103" i="9"/>
  <c r="H104" i="9"/>
  <c r="I104" i="9"/>
  <c r="H105" i="9"/>
  <c r="I105" i="9"/>
  <c r="H106" i="9"/>
  <c r="I106" i="9"/>
  <c r="H107" i="9"/>
  <c r="I107" i="9"/>
  <c r="H108" i="9"/>
  <c r="I108" i="9"/>
  <c r="H109" i="9"/>
  <c r="I109" i="9"/>
  <c r="H110" i="9"/>
  <c r="I110" i="9"/>
  <c r="H111" i="9"/>
  <c r="I111" i="9"/>
  <c r="H112" i="9"/>
  <c r="I112" i="9"/>
  <c r="H113" i="9"/>
  <c r="I113" i="9"/>
  <c r="H114" i="9"/>
  <c r="I114" i="9"/>
  <c r="H118" i="9"/>
  <c r="I118" i="9"/>
  <c r="H119" i="9"/>
  <c r="I119" i="9"/>
  <c r="I6" i="9"/>
  <c r="H6" i="9"/>
  <c r="I6" i="34"/>
  <c r="H6" i="34"/>
  <c r="I6" i="8"/>
  <c r="H6" i="8"/>
  <c r="I6" i="33"/>
  <c r="H6" i="33"/>
  <c r="I6" i="10"/>
  <c r="H6" i="10"/>
  <c r="I6" i="11"/>
  <c r="H6" i="11"/>
  <c r="I6" i="35"/>
  <c r="H6" i="35"/>
  <c r="I6" i="12"/>
  <c r="H6" i="12"/>
  <c r="I6" i="13"/>
  <c r="H6" i="13"/>
  <c r="I6" i="14"/>
  <c r="H6" i="14"/>
  <c r="I6" i="15"/>
  <c r="H6" i="15"/>
  <c r="I6" i="16"/>
  <c r="H6" i="16"/>
  <c r="I6" i="18"/>
  <c r="H6" i="18"/>
  <c r="I6" i="19"/>
  <c r="H6" i="19"/>
  <c r="I6" i="20"/>
  <c r="H6" i="20"/>
  <c r="I6" i="21"/>
  <c r="H6" i="21"/>
  <c r="H6" i="22"/>
  <c r="I6" i="22"/>
  <c r="I7" i="36"/>
  <c r="I8" i="36"/>
  <c r="I9" i="36"/>
  <c r="I10" i="36"/>
  <c r="I11" i="36"/>
  <c r="I12" i="36"/>
  <c r="I13" i="36"/>
  <c r="I14" i="36"/>
  <c r="I15" i="36"/>
  <c r="I16" i="36"/>
  <c r="I23" i="36"/>
  <c r="I24" i="36"/>
  <c r="I25" i="36"/>
  <c r="I26" i="36"/>
  <c r="I27" i="36"/>
  <c r="I28" i="36"/>
  <c r="I29" i="36"/>
  <c r="I30" i="36"/>
  <c r="I31" i="36"/>
  <c r="I32" i="36"/>
  <c r="I39" i="36"/>
  <c r="I42" i="36"/>
  <c r="I44" i="36"/>
  <c r="I48" i="36"/>
  <c r="I49" i="36"/>
  <c r="I50" i="36"/>
  <c r="I51" i="36"/>
  <c r="I52" i="36"/>
  <c r="I53" i="36"/>
  <c r="I54" i="36"/>
  <c r="I55" i="36"/>
  <c r="I56" i="36"/>
  <c r="I57" i="36"/>
  <c r="I58" i="36"/>
  <c r="I59" i="36"/>
  <c r="I60" i="36"/>
  <c r="I61" i="36"/>
  <c r="I62" i="36"/>
  <c r="I63" i="36"/>
  <c r="I64" i="36"/>
  <c r="I65" i="36"/>
  <c r="I66" i="36"/>
  <c r="I67" i="36"/>
  <c r="I68" i="36"/>
  <c r="I69" i="36"/>
  <c r="I70" i="36"/>
  <c r="I71" i="36"/>
  <c r="I72" i="36"/>
  <c r="I73" i="36"/>
  <c r="I74" i="36"/>
  <c r="I75" i="36"/>
  <c r="I76" i="36"/>
  <c r="I77" i="36"/>
  <c r="I78" i="36"/>
  <c r="I79" i="36"/>
  <c r="I80" i="36"/>
  <c r="I81" i="36"/>
  <c r="I82" i="36"/>
  <c r="I84" i="36"/>
  <c r="I85" i="36"/>
  <c r="I86" i="36"/>
  <c r="I87" i="36"/>
  <c r="I89" i="36"/>
  <c r="I90" i="36"/>
  <c r="I91" i="36"/>
  <c r="I92" i="36"/>
  <c r="I93" i="36"/>
  <c r="I94" i="36"/>
  <c r="I95" i="36"/>
  <c r="I96" i="36"/>
  <c r="I99" i="36"/>
  <c r="I100" i="36"/>
  <c r="I101" i="36"/>
  <c r="I102" i="36"/>
  <c r="I103" i="36"/>
  <c r="I104" i="36"/>
  <c r="I105" i="36"/>
  <c r="I106" i="36"/>
  <c r="I107" i="36"/>
  <c r="I108" i="36"/>
  <c r="I109" i="36"/>
  <c r="I110" i="36"/>
  <c r="I111" i="36"/>
  <c r="I112" i="36"/>
  <c r="I113" i="36"/>
  <c r="I114" i="36"/>
  <c r="I118" i="36"/>
  <c r="I119" i="36"/>
  <c r="I6" i="36"/>
  <c r="H7" i="36"/>
  <c r="H8" i="36"/>
  <c r="H9" i="36"/>
  <c r="H10" i="36"/>
  <c r="H11" i="36"/>
  <c r="H12" i="36"/>
  <c r="H13" i="36"/>
  <c r="H14" i="36"/>
  <c r="H15" i="36"/>
  <c r="H16" i="36"/>
  <c r="H23" i="36"/>
  <c r="H24" i="36"/>
  <c r="H25" i="36"/>
  <c r="H26" i="36"/>
  <c r="H27" i="36"/>
  <c r="H28" i="36"/>
  <c r="H29" i="36"/>
  <c r="H30" i="36"/>
  <c r="H31" i="36"/>
  <c r="H32" i="36"/>
  <c r="H39" i="36"/>
  <c r="H42" i="36"/>
  <c r="H44" i="36"/>
  <c r="H48" i="36"/>
  <c r="H49" i="36"/>
  <c r="H50" i="36"/>
  <c r="H51" i="36"/>
  <c r="H52" i="36"/>
  <c r="H53" i="36"/>
  <c r="H54" i="36"/>
  <c r="H55" i="36"/>
  <c r="H56" i="36"/>
  <c r="H57" i="36"/>
  <c r="H58" i="36"/>
  <c r="H59" i="36"/>
  <c r="H60" i="36"/>
  <c r="H61" i="36"/>
  <c r="H62" i="36"/>
  <c r="H63" i="36"/>
  <c r="H64" i="36"/>
  <c r="H65" i="36"/>
  <c r="H66" i="36"/>
  <c r="H67" i="36"/>
  <c r="H68" i="36"/>
  <c r="H69" i="36"/>
  <c r="H70" i="36"/>
  <c r="H71" i="36"/>
  <c r="H72" i="36"/>
  <c r="H73" i="36"/>
  <c r="H74" i="36"/>
  <c r="H75" i="36"/>
  <c r="H76" i="36"/>
  <c r="H77" i="36"/>
  <c r="H78" i="36"/>
  <c r="H79" i="36"/>
  <c r="H80" i="36"/>
  <c r="H81" i="36"/>
  <c r="H82" i="36"/>
  <c r="H84" i="36"/>
  <c r="H85" i="36"/>
  <c r="H86" i="36"/>
  <c r="H87" i="36"/>
  <c r="H89" i="36"/>
  <c r="H90" i="36"/>
  <c r="H91" i="36"/>
  <c r="H92" i="36"/>
  <c r="H93" i="36"/>
  <c r="H94" i="36"/>
  <c r="H95" i="36"/>
  <c r="H96" i="36"/>
  <c r="H99" i="36"/>
  <c r="H100" i="36"/>
  <c r="H101" i="36"/>
  <c r="H102" i="36"/>
  <c r="H103" i="36"/>
  <c r="H104" i="36"/>
  <c r="H105" i="36"/>
  <c r="H106" i="36"/>
  <c r="H107" i="36"/>
  <c r="H108" i="36"/>
  <c r="H109" i="36"/>
  <c r="H110" i="36"/>
  <c r="H111" i="36"/>
  <c r="H112" i="36"/>
  <c r="H113" i="36"/>
  <c r="H114" i="36"/>
  <c r="H118" i="36"/>
  <c r="H119" i="36"/>
  <c r="H6" i="36"/>
  <c r="E280" i="20" l="1"/>
  <c r="E190" i="21" l="1"/>
  <c r="F190" i="20" l="1"/>
  <c r="F190" i="24" s="1"/>
  <c r="F237" i="21"/>
  <c r="F237" i="20"/>
  <c r="F230" i="20"/>
  <c r="F230" i="24" s="1"/>
  <c r="F227" i="20"/>
  <c r="F227" i="24" s="1"/>
  <c r="F235" i="18"/>
  <c r="F235" i="24" s="1"/>
  <c r="F234" i="18"/>
  <c r="F234" i="24" s="1"/>
  <c r="E43" i="27"/>
  <c r="F290" i="36"/>
  <c r="S22" i="31" s="1"/>
  <c r="G290" i="36"/>
  <c r="W22" i="31" s="1"/>
  <c r="E290" i="36"/>
  <c r="D290" i="36"/>
  <c r="C290" i="36"/>
  <c r="B290" i="36"/>
  <c r="C22" i="31" s="1"/>
  <c r="F121" i="36"/>
  <c r="R22" i="31" s="1"/>
  <c r="E121" i="36"/>
  <c r="C121" i="36"/>
  <c r="B121" i="36"/>
  <c r="G121" i="36"/>
  <c r="V22" i="31" s="1"/>
  <c r="D121" i="36"/>
  <c r="F134" i="20"/>
  <c r="F134" i="24" s="1"/>
  <c r="F237" i="24" l="1"/>
  <c r="D292" i="36"/>
  <c r="T22" i="31"/>
  <c r="B292" i="36"/>
  <c r="B22" i="31"/>
  <c r="D22" i="31" s="1"/>
  <c r="X22" i="31"/>
  <c r="P22" i="31"/>
  <c r="C292" i="36"/>
  <c r="G292" i="36"/>
  <c r="F292" i="36"/>
  <c r="E292" i="36"/>
  <c r="G290" i="35" l="1"/>
  <c r="W11" i="31" s="1"/>
  <c r="F290" i="35"/>
  <c r="S11" i="31" s="1"/>
  <c r="E290" i="35"/>
  <c r="F197" i="9"/>
  <c r="F197" i="24" s="1"/>
  <c r="C290" i="35"/>
  <c r="D290" i="35"/>
  <c r="B290" i="35"/>
  <c r="C11" i="31" s="1"/>
  <c r="G121" i="35"/>
  <c r="V11" i="31" s="1"/>
  <c r="E121" i="35"/>
  <c r="D121" i="35"/>
  <c r="C121" i="35"/>
  <c r="F121" i="35"/>
  <c r="R11" i="31" s="1"/>
  <c r="B121" i="35"/>
  <c r="B11" i="31" s="1"/>
  <c r="E280" i="9"/>
  <c r="D11" i="31" l="1"/>
  <c r="G197" i="9"/>
  <c r="G197" i="24" s="1"/>
  <c r="T11" i="31"/>
  <c r="X11" i="31"/>
  <c r="P11" i="31"/>
  <c r="C292" i="35"/>
  <c r="D292" i="35"/>
  <c r="G292" i="35"/>
  <c r="F292" i="35"/>
  <c r="E292" i="35"/>
  <c r="B292" i="35"/>
  <c r="F284" i="8"/>
  <c r="F284" i="24" s="1"/>
  <c r="G284" i="8" l="1"/>
  <c r="G284" i="24" s="1"/>
  <c r="F91" i="24"/>
  <c r="C290" i="34" l="1"/>
  <c r="G290" i="34"/>
  <c r="W6" i="31" s="1"/>
  <c r="F290" i="34"/>
  <c r="S6" i="31" s="1"/>
  <c r="E290" i="34"/>
  <c r="D290" i="34"/>
  <c r="B290" i="34"/>
  <c r="C6" i="31" s="1"/>
  <c r="G121" i="34"/>
  <c r="V6" i="31" s="1"/>
  <c r="F121" i="34"/>
  <c r="R6" i="31" s="1"/>
  <c r="E121" i="34"/>
  <c r="C121" i="34"/>
  <c r="B121" i="34"/>
  <c r="B6" i="31" s="1"/>
  <c r="D121" i="34"/>
  <c r="E159" i="33"/>
  <c r="F159" i="33" s="1"/>
  <c r="E158" i="33"/>
  <c r="C290" i="33"/>
  <c r="G121" i="33"/>
  <c r="V8" i="31" s="1"/>
  <c r="F121" i="33"/>
  <c r="R8" i="31" s="1"/>
  <c r="E121" i="33"/>
  <c r="C121" i="33"/>
  <c r="B121" i="33"/>
  <c r="B8" i="31" s="1"/>
  <c r="D25" i="33"/>
  <c r="C292" i="34" l="1"/>
  <c r="F158" i="33"/>
  <c r="F290" i="33" s="1"/>
  <c r="T6" i="31"/>
  <c r="D6" i="31"/>
  <c r="X6" i="31"/>
  <c r="D121" i="33"/>
  <c r="G159" i="33"/>
  <c r="B292" i="34"/>
  <c r="F292" i="34"/>
  <c r="E292" i="34"/>
  <c r="D292" i="34"/>
  <c r="G292" i="34"/>
  <c r="C292" i="33"/>
  <c r="B290" i="33"/>
  <c r="D290" i="33"/>
  <c r="E290" i="33"/>
  <c r="G158" i="33" l="1"/>
  <c r="G290" i="33" s="1"/>
  <c r="G292" i="33" s="1"/>
  <c r="B292" i="33"/>
  <c r="C8" i="31"/>
  <c r="D8" i="31" s="1"/>
  <c r="E292" i="33"/>
  <c r="F292" i="33"/>
  <c r="S8" i="31"/>
  <c r="T8" i="31" s="1"/>
  <c r="D292" i="33"/>
  <c r="W8" i="31" l="1"/>
  <c r="X8" i="31" s="1"/>
  <c r="B9" i="32"/>
  <c r="B8" i="32"/>
  <c r="B5" i="32"/>
  <c r="B11" i="32" l="1"/>
  <c r="X264" i="30" l="1"/>
  <c r="X168" i="30"/>
  <c r="X178" i="30"/>
  <c r="F229" i="18" l="1"/>
  <c r="F229" i="24" s="1"/>
  <c r="H24" i="27" l="1"/>
  <c r="H15" i="27"/>
  <c r="F201" i="18"/>
  <c r="F201" i="24" s="1"/>
  <c r="F285" i="20"/>
  <c r="F285" i="24" s="1"/>
  <c r="E214" i="21"/>
  <c r="F158" i="8"/>
  <c r="F158" i="24" s="1"/>
  <c r="F170" i="24" l="1"/>
  <c r="G201" i="18"/>
  <c r="G201" i="24" s="1"/>
  <c r="G158" i="8"/>
  <c r="G158" i="24" s="1"/>
  <c r="G170" i="24" l="1"/>
  <c r="H12" i="27" l="1"/>
  <c r="G12" i="27"/>
  <c r="F12" i="27"/>
  <c r="D12" i="27"/>
  <c r="C12" i="27"/>
  <c r="F10" i="13"/>
  <c r="E276" i="9" l="1"/>
  <c r="C253" i="30" l="1"/>
  <c r="C194" i="30"/>
  <c r="C307" i="30" s="1"/>
  <c r="B125" i="24" l="1"/>
  <c r="F314" i="30" l="1"/>
  <c r="H91" i="30"/>
  <c r="G91" i="30"/>
  <c r="F91" i="30"/>
  <c r="N199" i="30" l="1"/>
  <c r="N194" i="30"/>
  <c r="N121" i="30"/>
  <c r="N224" i="30"/>
  <c r="N197" i="30"/>
  <c r="N297" i="30"/>
  <c r="N195" i="30"/>
  <c r="X33" i="30" l="1"/>
  <c r="X31" i="30"/>
  <c r="X23" i="30"/>
  <c r="X22" i="30"/>
  <c r="X25" i="30"/>
  <c r="X262" i="30"/>
  <c r="X260" i="30"/>
  <c r="X254" i="30"/>
  <c r="X251" i="30"/>
  <c r="X248" i="30"/>
  <c r="X247" i="30"/>
  <c r="X246" i="30"/>
  <c r="X243" i="30"/>
  <c r="X226" i="30"/>
  <c r="X224" i="30"/>
  <c r="X222" i="30"/>
  <c r="X157" i="30"/>
  <c r="X156" i="30"/>
  <c r="X120" i="30"/>
  <c r="X121" i="30"/>
  <c r="X123" i="30"/>
  <c r="X124" i="30"/>
  <c r="X126" i="30"/>
  <c r="X141" i="30"/>
  <c r="X118" i="30"/>
  <c r="X117" i="30"/>
  <c r="X114" i="30"/>
  <c r="X113" i="30"/>
  <c r="X111" i="30"/>
  <c r="X110" i="30"/>
  <c r="X109" i="30"/>
  <c r="X106" i="30"/>
  <c r="X103" i="30"/>
  <c r="X101" i="30"/>
  <c r="X100" i="30"/>
  <c r="X98" i="30"/>
  <c r="X95" i="30"/>
  <c r="X94" i="30"/>
  <c r="X85" i="30"/>
  <c r="X84" i="30"/>
  <c r="X80" i="30"/>
  <c r="X79" i="30"/>
  <c r="X78" i="30"/>
  <c r="X63" i="30"/>
  <c r="X56" i="30"/>
  <c r="X49" i="30"/>
  <c r="X40" i="30"/>
  <c r="X41" i="30"/>
  <c r="X42" i="30"/>
  <c r="X43" i="30"/>
  <c r="X44" i="30"/>
  <c r="X45" i="30"/>
  <c r="X46" i="30"/>
  <c r="X47" i="30"/>
  <c r="X48" i="30"/>
  <c r="X39" i="30"/>
  <c r="X36" i="30"/>
  <c r="X34" i="30"/>
  <c r="X30" i="30"/>
  <c r="X26" i="30"/>
  <c r="X83" i="30"/>
  <c r="X13" i="30"/>
  <c r="X20" i="30" l="1"/>
  <c r="X19" i="30"/>
  <c r="X18" i="30"/>
  <c r="X17" i="30"/>
  <c r="X12" i="30"/>
  <c r="X8" i="30"/>
  <c r="X7" i="30"/>
  <c r="X6" i="30"/>
  <c r="X77" i="30" l="1"/>
  <c r="X75" i="30"/>
  <c r="X76" i="30"/>
  <c r="X74" i="30"/>
  <c r="X73" i="30"/>
  <c r="X72" i="30"/>
  <c r="X71" i="30"/>
  <c r="X70" i="30"/>
  <c r="X69" i="30"/>
  <c r="X68" i="30"/>
  <c r="X67" i="30"/>
  <c r="X38" i="30"/>
  <c r="X37" i="30"/>
  <c r="X64" i="30"/>
  <c r="X62" i="30"/>
  <c r="X61" i="30"/>
  <c r="X60" i="30"/>
  <c r="X59" i="30"/>
  <c r="X58" i="30"/>
  <c r="X57" i="30"/>
  <c r="X66" i="30"/>
  <c r="X65" i="30"/>
  <c r="X55" i="30"/>
  <c r="X54" i="30"/>
  <c r="X53" i="30"/>
  <c r="X52" i="30"/>
  <c r="X51" i="30"/>
  <c r="X50" i="30"/>
  <c r="X35" i="30"/>
  <c r="X29" i="30"/>
  <c r="X28" i="30"/>
  <c r="X86" i="30"/>
  <c r="X27" i="30"/>
  <c r="N90" i="30"/>
  <c r="X304" i="30"/>
  <c r="X303" i="30"/>
  <c r="X302" i="30"/>
  <c r="X301" i="30"/>
  <c r="X300" i="30"/>
  <c r="X299" i="30"/>
  <c r="X298" i="30"/>
  <c r="X297" i="30"/>
  <c r="X296" i="30"/>
  <c r="X295" i="30"/>
  <c r="X294" i="30"/>
  <c r="X293" i="30"/>
  <c r="X292" i="30"/>
  <c r="X291" i="30"/>
  <c r="X290" i="30"/>
  <c r="X289" i="30"/>
  <c r="X212" i="30"/>
  <c r="X288" i="30"/>
  <c r="X287" i="30"/>
  <c r="X286" i="30"/>
  <c r="X285" i="30"/>
  <c r="X284" i="30"/>
  <c r="X283" i="30"/>
  <c r="X282" i="30"/>
  <c r="X281" i="30"/>
  <c r="X280" i="30"/>
  <c r="X279" i="30"/>
  <c r="X278" i="30"/>
  <c r="X277" i="30"/>
  <c r="X276" i="30"/>
  <c r="X275" i="30"/>
  <c r="X274" i="30"/>
  <c r="X273" i="30"/>
  <c r="X272" i="30"/>
  <c r="X259" i="30"/>
  <c r="X257" i="30"/>
  <c r="X256" i="30"/>
  <c r="X271" i="30"/>
  <c r="X263" i="30"/>
  <c r="X261" i="30"/>
  <c r="X255" i="30"/>
  <c r="X270" i="30"/>
  <c r="X269" i="30"/>
  <c r="X268" i="30"/>
  <c r="X267" i="30"/>
  <c r="X266" i="30"/>
  <c r="X265" i="30"/>
  <c r="X250" i="30"/>
  <c r="X249" i="30"/>
  <c r="X245" i="30"/>
  <c r="X244" i="30"/>
  <c r="X210" i="30"/>
  <c r="X242" i="30"/>
  <c r="X241" i="30"/>
  <c r="X240" i="30"/>
  <c r="X239" i="30"/>
  <c r="X238" i="30"/>
  <c r="X237" i="30"/>
  <c r="X236" i="30"/>
  <c r="X235" i="30"/>
  <c r="X234" i="30"/>
  <c r="X233" i="30"/>
  <c r="X232" i="30"/>
  <c r="X231" i="30"/>
  <c r="X230" i="30"/>
  <c r="X229" i="30"/>
  <c r="X228" i="30"/>
  <c r="X227" i="30"/>
  <c r="X223" i="30"/>
  <c r="X225" i="30"/>
  <c r="X221" i="30"/>
  <c r="X211" i="30"/>
  <c r="X220" i="30"/>
  <c r="X219" i="30"/>
  <c r="X218" i="30"/>
  <c r="X217" i="30"/>
  <c r="X216" i="30"/>
  <c r="X215" i="30"/>
  <c r="X214" i="30"/>
  <c r="X213" i="30"/>
  <c r="X209" i="30"/>
  <c r="X208" i="30"/>
  <c r="X207" i="30"/>
  <c r="X206" i="30"/>
  <c r="X205" i="30"/>
  <c r="X204" i="30"/>
  <c r="X203" i="30"/>
  <c r="X202" i="30"/>
  <c r="X201" i="30"/>
  <c r="X200" i="30"/>
  <c r="X199" i="30"/>
  <c r="X198" i="30"/>
  <c r="X197" i="30"/>
  <c r="X196" i="30"/>
  <c r="X195" i="30"/>
  <c r="X194" i="30"/>
  <c r="X193" i="30"/>
  <c r="X192" i="30"/>
  <c r="X191" i="30"/>
  <c r="X190" i="30"/>
  <c r="X189" i="30"/>
  <c r="X188" i="30"/>
  <c r="X187" i="30"/>
  <c r="X186" i="30"/>
  <c r="X185" i="30"/>
  <c r="X184" i="30"/>
  <c r="X183" i="30"/>
  <c r="X182" i="30"/>
  <c r="X181" i="30"/>
  <c r="X180" i="30"/>
  <c r="X179" i="30"/>
  <c r="X177" i="30"/>
  <c r="X176" i="30"/>
  <c r="X175" i="30"/>
  <c r="X174" i="30"/>
  <c r="X173" i="30"/>
  <c r="X172" i="30"/>
  <c r="X171" i="30"/>
  <c r="X170" i="30"/>
  <c r="X169" i="30"/>
  <c r="X167" i="30"/>
  <c r="X166" i="30"/>
  <c r="X165" i="30"/>
  <c r="X164" i="30"/>
  <c r="X163" i="30"/>
  <c r="X162" i="30"/>
  <c r="X161" i="30"/>
  <c r="X160" i="30"/>
  <c r="X159" i="30"/>
  <c r="X158" i="30"/>
  <c r="X155" i="30"/>
  <c r="X154" i="30"/>
  <c r="X153" i="30"/>
  <c r="X152" i="30"/>
  <c r="X151" i="30"/>
  <c r="X150" i="30"/>
  <c r="X149" i="30"/>
  <c r="X148" i="30"/>
  <c r="X147" i="30"/>
  <c r="X146" i="30"/>
  <c r="X145" i="30"/>
  <c r="X144" i="30"/>
  <c r="X143" i="30"/>
  <c r="X142" i="30"/>
  <c r="X140" i="30"/>
  <c r="X139" i="30"/>
  <c r="X138" i="30"/>
  <c r="X137" i="30"/>
  <c r="X136" i="30"/>
  <c r="X135" i="30"/>
  <c r="X134" i="30"/>
  <c r="X133" i="30"/>
  <c r="X132" i="30"/>
  <c r="X131" i="30"/>
  <c r="X130" i="30"/>
  <c r="X129" i="30"/>
  <c r="X128" i="30"/>
  <c r="X127" i="30"/>
  <c r="X125" i="30"/>
  <c r="H307" i="30"/>
  <c r="G307" i="30"/>
  <c r="F307" i="30"/>
  <c r="F313" i="30" s="1"/>
  <c r="N286" i="30" l="1"/>
  <c r="N288" i="30"/>
  <c r="N214" i="30"/>
  <c r="N185" i="30"/>
  <c r="N104" i="30"/>
  <c r="N284" i="30"/>
  <c r="N263" i="30"/>
  <c r="N269" i="30"/>
  <c r="N227" i="30"/>
  <c r="N131" i="30"/>
  <c r="N130" i="30"/>
  <c r="N125" i="30"/>
  <c r="E307" i="30"/>
  <c r="D307" i="30"/>
  <c r="H90" i="30"/>
  <c r="G90" i="30"/>
  <c r="F90" i="30"/>
  <c r="E90" i="30"/>
  <c r="D90" i="30"/>
  <c r="C90" i="30"/>
  <c r="N307" i="30" l="1"/>
  <c r="N309" i="30" s="1"/>
  <c r="F309" i="30"/>
  <c r="C309" i="30"/>
  <c r="G309" i="30"/>
  <c r="D309" i="30"/>
  <c r="H309" i="30"/>
  <c r="E309" i="30"/>
  <c r="G121" i="19" l="1"/>
  <c r="V18" i="31" s="1"/>
  <c r="F121" i="19"/>
  <c r="R18" i="31" s="1"/>
  <c r="D121" i="19"/>
  <c r="J18" i="31" s="1"/>
  <c r="C121" i="19"/>
  <c r="F18" i="31" s="1"/>
  <c r="B121" i="19"/>
  <c r="B18" i="31" s="1"/>
  <c r="G121" i="18"/>
  <c r="V17" i="31" s="1"/>
  <c r="F121" i="18"/>
  <c r="R17" i="31" s="1"/>
  <c r="D121" i="18"/>
  <c r="J17" i="31" s="1"/>
  <c r="C121" i="18"/>
  <c r="F17" i="31" s="1"/>
  <c r="B121" i="18"/>
  <c r="B17" i="31" s="1"/>
  <c r="G121" i="16"/>
  <c r="V16" i="31" s="1"/>
  <c r="F121" i="16"/>
  <c r="R16" i="31" s="1"/>
  <c r="D121" i="16"/>
  <c r="J16" i="31" s="1"/>
  <c r="C121" i="16"/>
  <c r="F16" i="31" s="1"/>
  <c r="B121" i="16"/>
  <c r="B16" i="31" s="1"/>
  <c r="G290" i="15"/>
  <c r="W15" i="31" s="1"/>
  <c r="F290" i="15"/>
  <c r="S15" i="31" s="1"/>
  <c r="D290" i="15"/>
  <c r="K15" i="31" s="1"/>
  <c r="C290" i="15"/>
  <c r="G15" i="31" s="1"/>
  <c r="B290" i="15"/>
  <c r="C15" i="31" s="1"/>
  <c r="G121" i="15"/>
  <c r="V15" i="31" s="1"/>
  <c r="F121" i="15"/>
  <c r="R15" i="31" s="1"/>
  <c r="D121" i="15"/>
  <c r="J15" i="31" s="1"/>
  <c r="C121" i="15"/>
  <c r="F15" i="31" s="1"/>
  <c r="B121" i="15"/>
  <c r="B15" i="31" s="1"/>
  <c r="G121" i="14"/>
  <c r="V14" i="31" s="1"/>
  <c r="F121" i="14"/>
  <c r="R14" i="31" s="1"/>
  <c r="D121" i="14"/>
  <c r="J14" i="31" s="1"/>
  <c r="C121" i="14"/>
  <c r="F14" i="31" s="1"/>
  <c r="B121" i="14"/>
  <c r="B14" i="31" s="1"/>
  <c r="G121" i="12"/>
  <c r="V12" i="31" s="1"/>
  <c r="F121" i="12"/>
  <c r="R12" i="31" s="1"/>
  <c r="D121" i="12"/>
  <c r="J12" i="31" s="1"/>
  <c r="C121" i="12"/>
  <c r="F12" i="31" s="1"/>
  <c r="B121" i="12"/>
  <c r="B12" i="31" s="1"/>
  <c r="G290" i="11"/>
  <c r="W10" i="31" s="1"/>
  <c r="F290" i="11"/>
  <c r="S10" i="31" s="1"/>
  <c r="D290" i="11"/>
  <c r="K10" i="31" s="1"/>
  <c r="C290" i="11"/>
  <c r="G10" i="31" s="1"/>
  <c r="B290" i="11"/>
  <c r="C10" i="31" s="1"/>
  <c r="G121" i="11"/>
  <c r="V10" i="31" s="1"/>
  <c r="F121" i="11"/>
  <c r="R10" i="31" s="1"/>
  <c r="D121" i="11"/>
  <c r="J10" i="31" s="1"/>
  <c r="C121" i="11"/>
  <c r="F10" i="31" s="1"/>
  <c r="B121" i="11"/>
  <c r="B10" i="31" s="1"/>
  <c r="G290" i="10"/>
  <c r="F290" i="10"/>
  <c r="D290" i="10"/>
  <c r="K9" i="31" s="1"/>
  <c r="C290" i="10"/>
  <c r="G9" i="31" s="1"/>
  <c r="B290" i="10"/>
  <c r="C9" i="31" s="1"/>
  <c r="G121" i="10"/>
  <c r="V9" i="31" s="1"/>
  <c r="F121" i="10"/>
  <c r="R9" i="31" s="1"/>
  <c r="D121" i="10"/>
  <c r="J9" i="31" s="1"/>
  <c r="C121" i="10"/>
  <c r="F9" i="31" s="1"/>
  <c r="B121" i="10"/>
  <c r="B9" i="31" s="1"/>
  <c r="G121" i="8"/>
  <c r="V7" i="31" s="1"/>
  <c r="F121" i="8"/>
  <c r="R7" i="31" s="1"/>
  <c r="D121" i="8"/>
  <c r="J7" i="31" s="1"/>
  <c r="C121" i="8"/>
  <c r="F7" i="31" s="1"/>
  <c r="B121" i="8"/>
  <c r="B7" i="31" s="1"/>
  <c r="G121" i="9"/>
  <c r="V5" i="31" s="1"/>
  <c r="F121" i="9"/>
  <c r="R5" i="31" s="1"/>
  <c r="D121" i="9"/>
  <c r="J5" i="31" s="1"/>
  <c r="C121" i="9"/>
  <c r="F5" i="31" s="1"/>
  <c r="B121" i="9"/>
  <c r="B5" i="31" s="1"/>
  <c r="D9" i="31" l="1"/>
  <c r="L10" i="31"/>
  <c r="L15" i="31"/>
  <c r="H10" i="31"/>
  <c r="H15" i="31"/>
  <c r="D10" i="31"/>
  <c r="X10" i="31"/>
  <c r="D15" i="31"/>
  <c r="X15" i="31"/>
  <c r="H9" i="31"/>
  <c r="T10" i="31"/>
  <c r="T15" i="31"/>
  <c r="S9" i="31"/>
  <c r="T9" i="31" s="1"/>
  <c r="W9" i="31"/>
  <c r="X9" i="31" s="1"/>
  <c r="L9" i="31"/>
  <c r="C16" i="29"/>
  <c r="C20" i="29" s="1"/>
  <c r="H157" i="26"/>
  <c r="G157" i="26"/>
  <c r="F157" i="26"/>
  <c r="E131" i="26" l="1"/>
  <c r="D154" i="26"/>
  <c r="C260" i="26"/>
  <c r="C259" i="26"/>
  <c r="C258" i="26"/>
  <c r="C257" i="26"/>
  <c r="C256" i="26"/>
  <c r="C254" i="26"/>
  <c r="C253" i="26"/>
  <c r="C252" i="26"/>
  <c r="C251" i="26"/>
  <c r="C250" i="26"/>
  <c r="C249" i="26"/>
  <c r="C248" i="26"/>
  <c r="C247" i="26"/>
  <c r="C244" i="26"/>
  <c r="C246" i="26"/>
  <c r="C245" i="26"/>
  <c r="C243" i="26"/>
  <c r="C242" i="26"/>
  <c r="C241" i="26"/>
  <c r="C239" i="26"/>
  <c r="C240" i="26"/>
  <c r="C238" i="26"/>
  <c r="C237" i="26"/>
  <c r="C236" i="26"/>
  <c r="C235" i="26"/>
  <c r="C230" i="26"/>
  <c r="C234" i="26"/>
  <c r="C233" i="26"/>
  <c r="C229" i="26"/>
  <c r="C228" i="26"/>
  <c r="C232" i="26"/>
  <c r="C227" i="26"/>
  <c r="C226" i="26"/>
  <c r="C225" i="26"/>
  <c r="C224" i="26"/>
  <c r="C223" i="26"/>
  <c r="C222" i="26"/>
  <c r="C221" i="26"/>
  <c r="C220" i="26"/>
  <c r="C219" i="26"/>
  <c r="C217" i="26"/>
  <c r="C216" i="26"/>
  <c r="C215" i="26"/>
  <c r="C214" i="26"/>
  <c r="C213" i="26"/>
  <c r="C212" i="26"/>
  <c r="C211" i="26"/>
  <c r="C208" i="26"/>
  <c r="C210" i="26"/>
  <c r="C209" i="26"/>
  <c r="C207" i="26"/>
  <c r="C206" i="26"/>
  <c r="C205" i="26"/>
  <c r="C204" i="26"/>
  <c r="C203" i="26"/>
  <c r="C202" i="26"/>
  <c r="C201" i="26"/>
  <c r="C200" i="26"/>
  <c r="C199" i="26"/>
  <c r="C196" i="26"/>
  <c r="C195" i="26"/>
  <c r="C194" i="26"/>
  <c r="C193" i="26"/>
  <c r="C192" i="26"/>
  <c r="C191" i="26"/>
  <c r="C190" i="26"/>
  <c r="C189" i="26"/>
  <c r="C188" i="26"/>
  <c r="C187" i="26"/>
  <c r="C186" i="26"/>
  <c r="C185" i="26"/>
  <c r="C184" i="26"/>
  <c r="C183" i="26"/>
  <c r="C182" i="26"/>
  <c r="C181" i="26"/>
  <c r="C180" i="26"/>
  <c r="C179" i="26"/>
  <c r="C177" i="26"/>
  <c r="C176" i="26"/>
  <c r="C175" i="26"/>
  <c r="C174" i="26"/>
  <c r="C173" i="26"/>
  <c r="C172" i="26"/>
  <c r="C171" i="26"/>
  <c r="C170" i="26"/>
  <c r="C169" i="26"/>
  <c r="C167" i="26"/>
  <c r="C166" i="26"/>
  <c r="C165" i="26"/>
  <c r="C164" i="26"/>
  <c r="C163" i="26"/>
  <c r="C162" i="26"/>
  <c r="C160" i="26"/>
  <c r="C159" i="26"/>
  <c r="C158" i="26"/>
  <c r="C157" i="26"/>
  <c r="C156" i="26"/>
  <c r="C154" i="26"/>
  <c r="C155" i="26"/>
  <c r="C153" i="26"/>
  <c r="C152" i="26"/>
  <c r="C151" i="26"/>
  <c r="C150" i="26"/>
  <c r="C149" i="26"/>
  <c r="C148" i="26"/>
  <c r="C147" i="26"/>
  <c r="C146" i="26"/>
  <c r="C145" i="26"/>
  <c r="C144" i="26"/>
  <c r="C143" i="26"/>
  <c r="C141" i="26"/>
  <c r="C140" i="26"/>
  <c r="C139" i="26"/>
  <c r="C138" i="26"/>
  <c r="C137" i="26"/>
  <c r="C136" i="26"/>
  <c r="C135" i="26"/>
  <c r="C134" i="26"/>
  <c r="C133" i="26"/>
  <c r="C132" i="26"/>
  <c r="C130" i="26"/>
  <c r="C129" i="26"/>
  <c r="C127" i="26"/>
  <c r="C126" i="26"/>
  <c r="C125" i="26"/>
  <c r="C124" i="26"/>
  <c r="C123" i="26"/>
  <c r="C122" i="26"/>
  <c r="C121" i="26"/>
  <c r="C120" i="26"/>
  <c r="C119" i="26"/>
  <c r="C118" i="26"/>
  <c r="C117" i="26"/>
  <c r="C116" i="26"/>
  <c r="C115" i="26"/>
  <c r="C114" i="26"/>
  <c r="C112" i="26"/>
  <c r="C110" i="26"/>
  <c r="C111" i="26"/>
  <c r="C109" i="26"/>
  <c r="C108" i="26"/>
  <c r="C107" i="26"/>
  <c r="C106" i="26"/>
  <c r="C105" i="26"/>
  <c r="C104" i="26"/>
  <c r="C103" i="26"/>
  <c r="E191" i="26"/>
  <c r="D191" i="26"/>
  <c r="E12" i="27"/>
  <c r="D131" i="26"/>
  <c r="E121" i="19" l="1"/>
  <c r="N18" i="31" s="1"/>
  <c r="K14" i="7" l="1"/>
  <c r="F36" i="26"/>
  <c r="F9" i="26"/>
  <c r="F65" i="26"/>
  <c r="F67" i="26"/>
  <c r="F45" i="26"/>
  <c r="F56" i="26"/>
  <c r="F86" i="26"/>
  <c r="G28" i="26"/>
  <c r="F22" i="26"/>
  <c r="F20" i="26"/>
  <c r="F96" i="26"/>
  <c r="F91" i="26"/>
  <c r="F79" i="26"/>
  <c r="F32" i="26"/>
  <c r="F112" i="26"/>
  <c r="F128" i="26"/>
  <c r="F141" i="26"/>
  <c r="F173" i="26"/>
  <c r="F117" i="26"/>
  <c r="F187" i="26"/>
  <c r="F248" i="26"/>
  <c r="F50" i="26"/>
  <c r="F28" i="26"/>
  <c r="F62" i="26"/>
  <c r="F81" i="26"/>
  <c r="F59" i="26"/>
  <c r="F51" i="26"/>
  <c r="F6" i="26"/>
  <c r="F14" i="26"/>
  <c r="F33" i="26"/>
  <c r="F5" i="26"/>
  <c r="F77" i="26"/>
  <c r="F55" i="26"/>
  <c r="F44" i="26"/>
  <c r="G50" i="26"/>
  <c r="F30" i="26"/>
  <c r="F75" i="26"/>
  <c r="F64" i="26"/>
  <c r="F66" i="26"/>
  <c r="G76" i="26"/>
  <c r="F34" i="26"/>
  <c r="F46" i="26"/>
  <c r="G29" i="26"/>
  <c r="F35" i="26"/>
  <c r="F69" i="26"/>
  <c r="F23" i="26"/>
  <c r="F18" i="26"/>
  <c r="F97" i="26"/>
  <c r="F92" i="26"/>
  <c r="F78" i="26"/>
  <c r="F114" i="26"/>
  <c r="F199" i="26"/>
  <c r="F232" i="26"/>
  <c r="F239" i="26"/>
  <c r="F245" i="26"/>
  <c r="F74" i="26"/>
  <c r="F122" i="26"/>
  <c r="F234" i="26"/>
  <c r="F237" i="26"/>
  <c r="F246" i="26"/>
  <c r="F54" i="26"/>
  <c r="F87" i="26"/>
  <c r="F68" i="26"/>
  <c r="F42" i="26"/>
  <c r="F57" i="26"/>
  <c r="G51" i="26"/>
  <c r="F21" i="26"/>
  <c r="F95" i="26"/>
  <c r="F111" i="26"/>
  <c r="F131" i="26"/>
  <c r="F76" i="26"/>
  <c r="F38" i="26"/>
  <c r="F29" i="26"/>
  <c r="F61" i="26"/>
  <c r="F60" i="26"/>
  <c r="F40" i="26"/>
  <c r="F49" i="26"/>
  <c r="F53" i="26"/>
  <c r="F10" i="26"/>
  <c r="F89" i="26"/>
  <c r="F83" i="26"/>
  <c r="F25" i="26"/>
  <c r="G49" i="26"/>
  <c r="F31" i="26"/>
  <c r="F27" i="26"/>
  <c r="F7" i="26"/>
  <c r="F58" i="26"/>
  <c r="F43" i="26"/>
  <c r="F39" i="26"/>
  <c r="F48" i="26"/>
  <c r="F8" i="26"/>
  <c r="G5" i="26"/>
  <c r="F17" i="26"/>
  <c r="F94" i="26"/>
  <c r="F73" i="26"/>
  <c r="F15" i="26"/>
  <c r="F41" i="26"/>
  <c r="F63" i="26"/>
  <c r="F37" i="26"/>
  <c r="F70" i="26"/>
  <c r="G81" i="26"/>
  <c r="F24" i="26"/>
  <c r="F47" i="26"/>
  <c r="F11" i="26"/>
  <c r="F84" i="26"/>
  <c r="F90" i="26"/>
  <c r="F19" i="26"/>
  <c r="F82" i="26"/>
  <c r="F93" i="26"/>
  <c r="F80" i="26"/>
  <c r="F72" i="26"/>
  <c r="G113" i="26"/>
  <c r="F140" i="26"/>
  <c r="F193" i="26"/>
  <c r="F116" i="26"/>
  <c r="F231" i="26"/>
  <c r="F240" i="26"/>
  <c r="F118" i="26"/>
  <c r="F127" i="26"/>
  <c r="F137" i="26"/>
  <c r="F162" i="26"/>
  <c r="F170" i="26"/>
  <c r="F179" i="26"/>
  <c r="F188" i="26"/>
  <c r="F197" i="26"/>
  <c r="F206" i="26"/>
  <c r="F218" i="26"/>
  <c r="F226" i="26"/>
  <c r="F238" i="26"/>
  <c r="F252" i="26"/>
  <c r="F260" i="26"/>
  <c r="F121" i="26"/>
  <c r="F132" i="26"/>
  <c r="F113" i="26"/>
  <c r="F161" i="26"/>
  <c r="F169" i="26"/>
  <c r="F178" i="26"/>
  <c r="F186" i="26"/>
  <c r="F196" i="26"/>
  <c r="F205" i="26"/>
  <c r="F213" i="26"/>
  <c r="F221" i="26"/>
  <c r="F229" i="26"/>
  <c r="F243" i="26"/>
  <c r="F255" i="26"/>
  <c r="F110" i="26"/>
  <c r="F120" i="26"/>
  <c r="F125" i="26"/>
  <c r="F130" i="26"/>
  <c r="F135" i="26"/>
  <c r="F139" i="26"/>
  <c r="F160" i="26"/>
  <c r="F164" i="26"/>
  <c r="F168" i="26"/>
  <c r="F172" i="26"/>
  <c r="F177" i="26"/>
  <c r="F181" i="26"/>
  <c r="F185" i="26"/>
  <c r="F190" i="26"/>
  <c r="F195" i="26"/>
  <c r="F200" i="26"/>
  <c r="F204" i="26"/>
  <c r="F209" i="26"/>
  <c r="F212" i="26"/>
  <c r="F216" i="26"/>
  <c r="F220" i="26"/>
  <c r="F224" i="26"/>
  <c r="F228" i="26"/>
  <c r="F235" i="26"/>
  <c r="F242" i="26"/>
  <c r="F250" i="26"/>
  <c r="F254" i="26"/>
  <c r="F258" i="26"/>
  <c r="F123" i="26"/>
  <c r="F133" i="26"/>
  <c r="F166" i="26"/>
  <c r="F175" i="26"/>
  <c r="F183" i="26"/>
  <c r="F192" i="26"/>
  <c r="F202" i="26"/>
  <c r="F208" i="26"/>
  <c r="F214" i="26"/>
  <c r="F222" i="26"/>
  <c r="F233" i="26"/>
  <c r="F247" i="26"/>
  <c r="F256" i="26"/>
  <c r="F115" i="26"/>
  <c r="F126" i="26"/>
  <c r="F136" i="26"/>
  <c r="F165" i="26"/>
  <c r="F174" i="26"/>
  <c r="F182" i="26"/>
  <c r="F191" i="26"/>
  <c r="F201" i="26"/>
  <c r="F210" i="26"/>
  <c r="F217" i="26"/>
  <c r="F225" i="26"/>
  <c r="F236" i="26"/>
  <c r="F251" i="26"/>
  <c r="F259" i="26"/>
  <c r="F119" i="26"/>
  <c r="F124" i="26"/>
  <c r="F129" i="26"/>
  <c r="F134" i="26"/>
  <c r="F138" i="26"/>
  <c r="F163" i="26"/>
  <c r="F167" i="26"/>
  <c r="F171" i="26"/>
  <c r="F176" i="26"/>
  <c r="F180" i="26"/>
  <c r="F184" i="26"/>
  <c r="F189" i="26"/>
  <c r="F194" i="26"/>
  <c r="F198" i="26"/>
  <c r="F203" i="26"/>
  <c r="F207" i="26"/>
  <c r="F211" i="26"/>
  <c r="F215" i="26"/>
  <c r="F219" i="26"/>
  <c r="F223" i="26"/>
  <c r="F227" i="26"/>
  <c r="F230" i="26"/>
  <c r="F241" i="26"/>
  <c r="F249" i="26"/>
  <c r="F253" i="26"/>
  <c r="F257" i="26"/>
  <c r="G10" i="26"/>
  <c r="H89" i="26"/>
  <c r="G89" i="26"/>
  <c r="H83" i="26"/>
  <c r="G83" i="26"/>
  <c r="H25" i="26"/>
  <c r="G25" i="26"/>
  <c r="G33" i="26"/>
  <c r="G77" i="26"/>
  <c r="H38" i="26"/>
  <c r="G38" i="26"/>
  <c r="G61" i="26"/>
  <c r="H60" i="26"/>
  <c r="G60" i="26"/>
  <c r="H40" i="26"/>
  <c r="G40" i="26"/>
  <c r="G53" i="26"/>
  <c r="G62" i="26"/>
  <c r="H59" i="26"/>
  <c r="G59" i="26"/>
  <c r="G14" i="26"/>
  <c r="F149" i="26"/>
  <c r="F154" i="26"/>
  <c r="F155" i="26"/>
  <c r="F146" i="26"/>
  <c r="F158" i="26"/>
  <c r="F156" i="26"/>
  <c r="F144" i="26"/>
  <c r="F148" i="26"/>
  <c r="F153" i="26"/>
  <c r="F142" i="26"/>
  <c r="F151" i="26"/>
  <c r="F145" i="26"/>
  <c r="F150" i="26"/>
  <c r="F143" i="26"/>
  <c r="F147" i="26"/>
  <c r="F152" i="26"/>
  <c r="F159" i="26"/>
  <c r="H107" i="26"/>
  <c r="H105" i="26"/>
  <c r="H104" i="26"/>
  <c r="H103" i="26"/>
  <c r="H102" i="26"/>
  <c r="H108" i="26"/>
  <c r="H106" i="26"/>
  <c r="H109" i="26"/>
  <c r="F244" i="26"/>
  <c r="H53" i="26" l="1"/>
  <c r="H33" i="26"/>
  <c r="H61" i="26"/>
  <c r="G6" i="26"/>
  <c r="H14" i="26"/>
  <c r="G168" i="26"/>
  <c r="G167" i="26"/>
  <c r="G160" i="26"/>
  <c r="G162" i="26"/>
  <c r="G116" i="26"/>
  <c r="G72" i="26"/>
  <c r="G93" i="26"/>
  <c r="G19" i="26"/>
  <c r="H84" i="26"/>
  <c r="G84" i="26"/>
  <c r="G47" i="26"/>
  <c r="G70" i="26"/>
  <c r="H63" i="26"/>
  <c r="G63" i="26"/>
  <c r="H77" i="26"/>
  <c r="G15" i="26"/>
  <c r="G94" i="26"/>
  <c r="H8" i="26"/>
  <c r="G8" i="26"/>
  <c r="G39" i="26"/>
  <c r="G58" i="26"/>
  <c r="H27" i="26"/>
  <c r="G27" i="26"/>
  <c r="G131" i="26"/>
  <c r="G246" i="26"/>
  <c r="G232" i="26"/>
  <c r="G78" i="26"/>
  <c r="H97" i="26"/>
  <c r="G97" i="26"/>
  <c r="H23" i="26"/>
  <c r="G23" i="26"/>
  <c r="H29" i="26"/>
  <c r="G35" i="26"/>
  <c r="H34" i="26"/>
  <c r="G34" i="26"/>
  <c r="H64" i="26"/>
  <c r="G64" i="26"/>
  <c r="H30" i="26"/>
  <c r="G30" i="26"/>
  <c r="G55" i="26"/>
  <c r="G173" i="26"/>
  <c r="G244" i="26"/>
  <c r="G57" i="26"/>
  <c r="G122" i="26"/>
  <c r="G67" i="26"/>
  <c r="G240" i="26"/>
  <c r="G140" i="26"/>
  <c r="G80" i="26"/>
  <c r="H82" i="26"/>
  <c r="G82" i="26"/>
  <c r="G90" i="26"/>
  <c r="H11" i="26"/>
  <c r="G11" i="26"/>
  <c r="H24" i="26"/>
  <c r="G24" i="26"/>
  <c r="H37" i="26"/>
  <c r="G37" i="26"/>
  <c r="G41" i="26"/>
  <c r="H73" i="26"/>
  <c r="G73" i="26"/>
  <c r="H5" i="26"/>
  <c r="G17" i="26"/>
  <c r="G48" i="26"/>
  <c r="H43" i="26"/>
  <c r="G43" i="26"/>
  <c r="H7" i="26"/>
  <c r="G7" i="26"/>
  <c r="G31" i="26"/>
  <c r="G234" i="26"/>
  <c r="G245" i="26"/>
  <c r="G114" i="26"/>
  <c r="H92" i="26"/>
  <c r="G92" i="26"/>
  <c r="H18" i="26"/>
  <c r="G18" i="26"/>
  <c r="G69" i="26"/>
  <c r="G46" i="26"/>
  <c r="H66" i="26"/>
  <c r="G66" i="26"/>
  <c r="H75" i="26"/>
  <c r="G75" i="26"/>
  <c r="G44" i="26"/>
  <c r="G187" i="26"/>
  <c r="G128" i="26"/>
  <c r="G231" i="26"/>
  <c r="H95" i="26"/>
  <c r="G95" i="26"/>
  <c r="G68" i="26"/>
  <c r="H54" i="26"/>
  <c r="G54" i="26"/>
  <c r="G239" i="26"/>
  <c r="G117" i="26"/>
  <c r="G112" i="26"/>
  <c r="G79" i="26"/>
  <c r="H96" i="26"/>
  <c r="G96" i="26"/>
  <c r="H22" i="26"/>
  <c r="G22" i="26"/>
  <c r="G56" i="26"/>
  <c r="H52" i="26"/>
  <c r="G9" i="26"/>
  <c r="G163" i="26"/>
  <c r="G165" i="26"/>
  <c r="G193" i="26"/>
  <c r="G111" i="26"/>
  <c r="H51" i="26"/>
  <c r="G21" i="26"/>
  <c r="H42" i="26"/>
  <c r="G42" i="26"/>
  <c r="G87" i="26"/>
  <c r="G237" i="26"/>
  <c r="H74" i="26"/>
  <c r="G74" i="26"/>
  <c r="G199" i="26"/>
  <c r="G248" i="26"/>
  <c r="G141" i="26"/>
  <c r="G32" i="26"/>
  <c r="H91" i="26"/>
  <c r="G91" i="26"/>
  <c r="H20" i="26"/>
  <c r="G20" i="26"/>
  <c r="H86" i="26"/>
  <c r="G86" i="26"/>
  <c r="G45" i="26"/>
  <c r="H65" i="26"/>
  <c r="G65" i="26"/>
  <c r="G36" i="26"/>
  <c r="G194" i="26"/>
  <c r="G176" i="26"/>
  <c r="G136" i="26"/>
  <c r="G175" i="26"/>
  <c r="G258" i="26"/>
  <c r="G200" i="26"/>
  <c r="G132" i="26"/>
  <c r="G252" i="26"/>
  <c r="G206" i="26"/>
  <c r="G170" i="26"/>
  <c r="G118" i="26"/>
  <c r="G249" i="26"/>
  <c r="G223" i="26"/>
  <c r="G207" i="26"/>
  <c r="G171" i="26"/>
  <c r="G134" i="26"/>
  <c r="G259" i="26"/>
  <c r="G217" i="26"/>
  <c r="G182" i="26"/>
  <c r="G228" i="26"/>
  <c r="H126" i="26"/>
  <c r="G125" i="26"/>
  <c r="G243" i="26"/>
  <c r="G205" i="26"/>
  <c r="G169" i="26"/>
  <c r="G121" i="26"/>
  <c r="G238" i="26"/>
  <c r="G241" i="26"/>
  <c r="G219" i="26"/>
  <c r="G203" i="26"/>
  <c r="G184" i="26"/>
  <c r="G129" i="26"/>
  <c r="G251" i="26"/>
  <c r="G210" i="26"/>
  <c r="G174" i="26"/>
  <c r="G115" i="26"/>
  <c r="G222" i="26"/>
  <c r="G192" i="26"/>
  <c r="G133" i="26"/>
  <c r="G250" i="26"/>
  <c r="G224" i="26"/>
  <c r="G209" i="26"/>
  <c r="G190" i="26"/>
  <c r="G172" i="26"/>
  <c r="G139" i="26"/>
  <c r="G120" i="26"/>
  <c r="G229" i="26"/>
  <c r="G196" i="26"/>
  <c r="G161" i="26"/>
  <c r="G226" i="26"/>
  <c r="G188" i="26"/>
  <c r="G137" i="26"/>
  <c r="G164" i="26"/>
  <c r="G166" i="26"/>
  <c r="G126" i="26"/>
  <c r="G253" i="26"/>
  <c r="G227" i="26"/>
  <c r="G211" i="26"/>
  <c r="G138" i="26"/>
  <c r="G119" i="26"/>
  <c r="G225" i="26"/>
  <c r="G191" i="26"/>
  <c r="G247" i="26"/>
  <c r="G208" i="26"/>
  <c r="G235" i="26"/>
  <c r="G216" i="26"/>
  <c r="G181" i="26"/>
  <c r="G130" i="26"/>
  <c r="G255" i="26"/>
  <c r="G213" i="26"/>
  <c r="G178" i="26"/>
  <c r="G189" i="26"/>
  <c r="G233" i="26"/>
  <c r="G202" i="26"/>
  <c r="G254" i="26"/>
  <c r="G212" i="26"/>
  <c r="G195" i="26"/>
  <c r="G177" i="26"/>
  <c r="G257" i="26"/>
  <c r="G230" i="26"/>
  <c r="G215" i="26"/>
  <c r="G198" i="26"/>
  <c r="G180" i="26"/>
  <c r="G124" i="26"/>
  <c r="G236" i="26"/>
  <c r="G201" i="26"/>
  <c r="G256" i="26"/>
  <c r="G214" i="26"/>
  <c r="G183" i="26"/>
  <c r="G123" i="26"/>
  <c r="G242" i="26"/>
  <c r="G220" i="26"/>
  <c r="G204" i="26"/>
  <c r="G185" i="26"/>
  <c r="G135" i="26"/>
  <c r="G110" i="26"/>
  <c r="G221" i="26"/>
  <c r="G186" i="26"/>
  <c r="H260" i="26"/>
  <c r="G260" i="26"/>
  <c r="G218" i="26"/>
  <c r="G179" i="26"/>
  <c r="G127" i="26"/>
  <c r="G149" i="26"/>
  <c r="H167" i="26"/>
  <c r="G155" i="26"/>
  <c r="H163" i="26"/>
  <c r="H160" i="26"/>
  <c r="H165" i="26"/>
  <c r="H164" i="26"/>
  <c r="H166" i="26"/>
  <c r="H168" i="26"/>
  <c r="H162" i="26"/>
  <c r="G154" i="26"/>
  <c r="G147" i="26"/>
  <c r="G151" i="26"/>
  <c r="G144" i="26"/>
  <c r="G146" i="26"/>
  <c r="G143" i="26"/>
  <c r="G142" i="26"/>
  <c r="G156" i="26"/>
  <c r="G159" i="26"/>
  <c r="G150" i="26"/>
  <c r="G153" i="26"/>
  <c r="H113" i="26"/>
  <c r="G152" i="26"/>
  <c r="G145" i="26"/>
  <c r="G148" i="26"/>
  <c r="G158" i="26"/>
  <c r="G71" i="26"/>
  <c r="F71" i="26"/>
  <c r="H26" i="26"/>
  <c r="H13" i="26"/>
  <c r="H88" i="26"/>
  <c r="H12" i="26"/>
  <c r="H48" i="26" l="1"/>
  <c r="H16" i="26"/>
  <c r="H71" i="26"/>
  <c r="H79" i="26"/>
  <c r="H78" i="26"/>
  <c r="H39" i="26"/>
  <c r="H85" i="26"/>
  <c r="H36" i="26"/>
  <c r="H45" i="26"/>
  <c r="H32" i="26"/>
  <c r="H10" i="26"/>
  <c r="H57" i="26"/>
  <c r="H46" i="26"/>
  <c r="H47" i="26"/>
  <c r="H19" i="26"/>
  <c r="H72" i="26"/>
  <c r="H6" i="26"/>
  <c r="H56" i="26"/>
  <c r="H44" i="26"/>
  <c r="H69" i="26"/>
  <c r="H55" i="26"/>
  <c r="H35" i="26"/>
  <c r="H58" i="26"/>
  <c r="H15" i="26"/>
  <c r="H70" i="26"/>
  <c r="H93" i="26"/>
  <c r="H28" i="26"/>
  <c r="H62" i="26"/>
  <c r="H9" i="26"/>
  <c r="H94" i="26"/>
  <c r="H87" i="26"/>
  <c r="H21" i="26"/>
  <c r="H68" i="26"/>
  <c r="H31" i="26"/>
  <c r="H17" i="26"/>
  <c r="H41" i="26"/>
  <c r="H90" i="26"/>
  <c r="H80" i="26"/>
  <c r="H67" i="26"/>
  <c r="H76" i="26"/>
  <c r="H49" i="26"/>
  <c r="H50" i="26"/>
  <c r="H81" i="26"/>
  <c r="H239" i="26"/>
  <c r="H128" i="26"/>
  <c r="H114" i="26"/>
  <c r="H244" i="26"/>
  <c r="H173" i="26"/>
  <c r="H199" i="26"/>
  <c r="H117" i="26"/>
  <c r="H231" i="26"/>
  <c r="H131" i="26"/>
  <c r="H248" i="26"/>
  <c r="H237" i="26"/>
  <c r="H193" i="26"/>
  <c r="H112" i="26"/>
  <c r="H234" i="26"/>
  <c r="H240" i="26"/>
  <c r="H246" i="26"/>
  <c r="H141" i="26"/>
  <c r="H111" i="26"/>
  <c r="H187" i="26"/>
  <c r="H245" i="26"/>
  <c r="H140" i="26"/>
  <c r="H122" i="26"/>
  <c r="H232" i="26"/>
  <c r="H116" i="26"/>
  <c r="H179" i="26"/>
  <c r="H198" i="26"/>
  <c r="H177" i="26"/>
  <c r="H202" i="26"/>
  <c r="H213" i="26"/>
  <c r="H216" i="26"/>
  <c r="H191" i="26"/>
  <c r="H211" i="26"/>
  <c r="H188" i="26"/>
  <c r="H229" i="26"/>
  <c r="H190" i="26"/>
  <c r="H133" i="26"/>
  <c r="H205" i="26"/>
  <c r="H258" i="26"/>
  <c r="H194" i="26"/>
  <c r="H221" i="26"/>
  <c r="H183" i="26"/>
  <c r="H195" i="26"/>
  <c r="H226" i="26"/>
  <c r="H192" i="26"/>
  <c r="H210" i="26"/>
  <c r="H203" i="26"/>
  <c r="H238" i="26"/>
  <c r="H243" i="26"/>
  <c r="H134" i="26"/>
  <c r="H249" i="26"/>
  <c r="H252" i="26"/>
  <c r="H175" i="26"/>
  <c r="H110" i="26"/>
  <c r="H220" i="26"/>
  <c r="H214" i="26"/>
  <c r="H124" i="26"/>
  <c r="H230" i="26"/>
  <c r="H212" i="26"/>
  <c r="H189" i="26"/>
  <c r="H130" i="26"/>
  <c r="H208" i="26"/>
  <c r="H119" i="26"/>
  <c r="H253" i="26"/>
  <c r="H161" i="26"/>
  <c r="H139" i="26"/>
  <c r="H224" i="26"/>
  <c r="H222" i="26"/>
  <c r="H251" i="26"/>
  <c r="H219" i="26"/>
  <c r="H121" i="26"/>
  <c r="H125" i="26"/>
  <c r="H182" i="26"/>
  <c r="H171" i="26"/>
  <c r="H118" i="26"/>
  <c r="H132" i="26"/>
  <c r="H136" i="26"/>
  <c r="H186" i="26"/>
  <c r="H185" i="26"/>
  <c r="H123" i="26"/>
  <c r="H201" i="26"/>
  <c r="H174" i="26"/>
  <c r="H184" i="26"/>
  <c r="H259" i="26"/>
  <c r="H223" i="26"/>
  <c r="H206" i="26"/>
  <c r="H218" i="26"/>
  <c r="H204" i="26"/>
  <c r="H236" i="26"/>
  <c r="H215" i="26"/>
  <c r="H233" i="26"/>
  <c r="H255" i="26"/>
  <c r="H235" i="26"/>
  <c r="H225" i="26"/>
  <c r="H227" i="26"/>
  <c r="H120" i="26"/>
  <c r="H209" i="26"/>
  <c r="H127" i="26"/>
  <c r="H135" i="26"/>
  <c r="H242" i="26"/>
  <c r="H256" i="26"/>
  <c r="H180" i="26"/>
  <c r="H257" i="26"/>
  <c r="H254" i="26"/>
  <c r="H178" i="26"/>
  <c r="H181" i="26"/>
  <c r="H247" i="26"/>
  <c r="H138" i="26"/>
  <c r="H137" i="26"/>
  <c r="H196" i="26"/>
  <c r="H172" i="26"/>
  <c r="H250" i="26"/>
  <c r="H115" i="26"/>
  <c r="H129" i="26"/>
  <c r="H241" i="26"/>
  <c r="H169" i="26"/>
  <c r="H228" i="26"/>
  <c r="H217" i="26"/>
  <c r="H207" i="26"/>
  <c r="H170" i="26"/>
  <c r="H200" i="26"/>
  <c r="H176" i="26"/>
  <c r="H149" i="26"/>
  <c r="H155" i="26"/>
  <c r="H154" i="26"/>
  <c r="H159" i="26"/>
  <c r="H156" i="26"/>
  <c r="H152" i="26"/>
  <c r="H150" i="26"/>
  <c r="H143" i="26"/>
  <c r="H147" i="26"/>
  <c r="H158" i="26"/>
  <c r="H146" i="26"/>
  <c r="H148" i="26"/>
  <c r="H144" i="26"/>
  <c r="H145" i="26"/>
  <c r="H153" i="26"/>
  <c r="H142" i="26"/>
  <c r="H151" i="26"/>
  <c r="G121" i="13"/>
  <c r="V13" i="31" s="1"/>
  <c r="H99" i="26" l="1"/>
  <c r="G121" i="24"/>
  <c r="G123" i="24" s="1"/>
  <c r="G121" i="22"/>
  <c r="V21" i="31" s="1"/>
  <c r="G290" i="22"/>
  <c r="W21" i="31" s="1"/>
  <c r="G121" i="21"/>
  <c r="V20" i="31" s="1"/>
  <c r="G290" i="21"/>
  <c r="G121" i="20"/>
  <c r="V19" i="31" s="1"/>
  <c r="G290" i="20"/>
  <c r="G290" i="19"/>
  <c r="H262" i="17"/>
  <c r="G290" i="24" s="1"/>
  <c r="G294" i="24" s="1"/>
  <c r="H99" i="17"/>
  <c r="G290" i="16"/>
  <c r="W16" i="31" s="1"/>
  <c r="X16" i="31" s="1"/>
  <c r="G290" i="14"/>
  <c r="W14" i="31" s="1"/>
  <c r="X14" i="31" s="1"/>
  <c r="G289" i="13"/>
  <c r="F289" i="13"/>
  <c r="S13" i="31" s="1"/>
  <c r="E289" i="13"/>
  <c r="G290" i="9"/>
  <c r="W5" i="31" s="1"/>
  <c r="E121" i="9"/>
  <c r="B5" i="7"/>
  <c r="G298" i="24" l="1"/>
  <c r="G292" i="24"/>
  <c r="G291" i="13"/>
  <c r="W13" i="31"/>
  <c r="X13" i="31" s="1"/>
  <c r="W20" i="31"/>
  <c r="X20" i="31" s="1"/>
  <c r="W18" i="31"/>
  <c r="X18" i="31" s="1"/>
  <c r="L9" i="7"/>
  <c r="W19" i="31"/>
  <c r="X19" i="31" s="1"/>
  <c r="X21" i="31"/>
  <c r="V24" i="31"/>
  <c r="X5" i="31"/>
  <c r="K5" i="7"/>
  <c r="N5" i="31"/>
  <c r="C128" i="26"/>
  <c r="C198" i="26"/>
  <c r="C197" i="26"/>
  <c r="C131" i="26"/>
  <c r="C113" i="26"/>
  <c r="C218" i="26"/>
  <c r="C231" i="26"/>
  <c r="C142" i="26"/>
  <c r="C168" i="26"/>
  <c r="C178" i="26"/>
  <c r="C161" i="26"/>
  <c r="C255" i="26"/>
  <c r="G292" i="21"/>
  <c r="G292" i="15"/>
  <c r="G292" i="22"/>
  <c r="G292" i="20"/>
  <c r="G292" i="19"/>
  <c r="G292" i="16"/>
  <c r="G292" i="14"/>
  <c r="G292" i="11"/>
  <c r="G292" i="9"/>
  <c r="H264" i="17"/>
  <c r="G290" i="12" l="1"/>
  <c r="G197" i="26"/>
  <c r="E290" i="8"/>
  <c r="O7" i="31" s="1"/>
  <c r="P7" i="31" s="1"/>
  <c r="G292" i="10"/>
  <c r="G290" i="18"/>
  <c r="C27" i="27"/>
  <c r="G292" i="18" l="1"/>
  <c r="W17" i="31"/>
  <c r="X17" i="31" s="1"/>
  <c r="G292" i="12"/>
  <c r="W12" i="31"/>
  <c r="X12" i="31" s="1"/>
  <c r="L4" i="7"/>
  <c r="H197" i="26"/>
  <c r="H262" i="26" s="1"/>
  <c r="H264" i="26" s="1"/>
  <c r="G290" i="8"/>
  <c r="E27" i="27"/>
  <c r="F27" i="27"/>
  <c r="D27" i="27"/>
  <c r="G292" i="8" l="1"/>
  <c r="W7" i="31"/>
  <c r="G27" i="27"/>
  <c r="X7" i="31" l="1"/>
  <c r="X24" i="31" s="1"/>
  <c r="W24" i="31"/>
  <c r="D88" i="26"/>
  <c r="F13" i="26" l="1"/>
  <c r="F105" i="26"/>
  <c r="F52" i="26"/>
  <c r="G109" i="26"/>
  <c r="G85" i="26"/>
  <c r="F104" i="26"/>
  <c r="F109" i="26"/>
  <c r="G88" i="26"/>
  <c r="G104" i="26"/>
  <c r="F88" i="26"/>
  <c r="F85" i="26"/>
  <c r="F290" i="8"/>
  <c r="S7" i="31" s="1"/>
  <c r="T7" i="31" s="1"/>
  <c r="H27" i="27"/>
  <c r="E260" i="26"/>
  <c r="D260" i="26"/>
  <c r="D258" i="26"/>
  <c r="D257" i="26"/>
  <c r="E256" i="26"/>
  <c r="D256" i="26"/>
  <c r="E255" i="26"/>
  <c r="D255" i="26"/>
  <c r="D254" i="26"/>
  <c r="E252" i="26"/>
  <c r="D252" i="26"/>
  <c r="E251" i="26"/>
  <c r="D251" i="26"/>
  <c r="E250" i="26"/>
  <c r="D250" i="26"/>
  <c r="D249" i="26"/>
  <c r="D248" i="26"/>
  <c r="D247" i="26"/>
  <c r="D244" i="26"/>
  <c r="D245" i="26"/>
  <c r="D243" i="26"/>
  <c r="D242" i="26"/>
  <c r="D241" i="26"/>
  <c r="E239" i="26"/>
  <c r="D239" i="26"/>
  <c r="E238" i="26"/>
  <c r="D238" i="26"/>
  <c r="D236" i="26"/>
  <c r="E235" i="26"/>
  <c r="D235" i="26"/>
  <c r="E230" i="26"/>
  <c r="D230" i="26"/>
  <c r="D234" i="26"/>
  <c r="D233" i="26"/>
  <c r="E229" i="26"/>
  <c r="D229" i="26"/>
  <c r="E228" i="26"/>
  <c r="D228" i="26"/>
  <c r="D232" i="26"/>
  <c r="D227" i="26"/>
  <c r="D225" i="26"/>
  <c r="D224" i="26"/>
  <c r="D222" i="26"/>
  <c r="D221" i="26"/>
  <c r="D220" i="26"/>
  <c r="D219" i="26"/>
  <c r="D218" i="26"/>
  <c r="E217" i="26"/>
  <c r="D217" i="26"/>
  <c r="D216" i="26"/>
  <c r="D215" i="26"/>
  <c r="E211" i="26"/>
  <c r="D211" i="26"/>
  <c r="E208" i="26"/>
  <c r="D208" i="26"/>
  <c r="D210" i="26"/>
  <c r="D209" i="26"/>
  <c r="D207" i="26"/>
  <c r="D206" i="26"/>
  <c r="D205" i="26"/>
  <c r="E204" i="26"/>
  <c r="D204" i="26"/>
  <c r="E203" i="26"/>
  <c r="D203" i="26"/>
  <c r="E201" i="26"/>
  <c r="D201" i="26"/>
  <c r="E200" i="26"/>
  <c r="D200" i="26"/>
  <c r="D199" i="26"/>
  <c r="D198" i="26"/>
  <c r="D195" i="26"/>
  <c r="E194" i="26"/>
  <c r="D194" i="26"/>
  <c r="D193" i="26"/>
  <c r="E192" i="26"/>
  <c r="D192" i="26"/>
  <c r="E190" i="26"/>
  <c r="D190" i="26"/>
  <c r="D189" i="26"/>
  <c r="D188" i="26"/>
  <c r="D187" i="26"/>
  <c r="D186" i="26"/>
  <c r="D185" i="26"/>
  <c r="D183" i="26"/>
  <c r="E182" i="26"/>
  <c r="D182" i="26"/>
  <c r="E181" i="26"/>
  <c r="D181" i="26"/>
  <c r="E179" i="26"/>
  <c r="D179" i="26"/>
  <c r="D178" i="26"/>
  <c r="E177" i="26"/>
  <c r="D177" i="26"/>
  <c r="D176" i="26"/>
  <c r="D175" i="26"/>
  <c r="D174" i="26"/>
  <c r="D173" i="26"/>
  <c r="D172" i="26"/>
  <c r="D171" i="26"/>
  <c r="D170" i="26"/>
  <c r="D169" i="26"/>
  <c r="E168" i="26"/>
  <c r="D168" i="26"/>
  <c r="D167" i="26"/>
  <c r="D166" i="26"/>
  <c r="D165" i="26"/>
  <c r="D164" i="26"/>
  <c r="D163" i="26"/>
  <c r="E162" i="26"/>
  <c r="D162" i="26"/>
  <c r="D160" i="26"/>
  <c r="E157" i="26"/>
  <c r="D157" i="26"/>
  <c r="D155" i="26"/>
  <c r="E153" i="26"/>
  <c r="D153" i="26"/>
  <c r="D152" i="26"/>
  <c r="D151" i="26"/>
  <c r="D149" i="26"/>
  <c r="E148" i="26"/>
  <c r="D148" i="26"/>
  <c r="E147" i="26"/>
  <c r="D147" i="26"/>
  <c r="E146" i="26"/>
  <c r="D146" i="26"/>
  <c r="D145" i="26"/>
  <c r="D144" i="26"/>
  <c r="D142" i="26"/>
  <c r="D141" i="26"/>
  <c r="E113" i="26"/>
  <c r="D113" i="26"/>
  <c r="D140" i="26"/>
  <c r="D139" i="26"/>
  <c r="D138" i="26"/>
  <c r="D137" i="26"/>
  <c r="D136" i="26"/>
  <c r="D135" i="26"/>
  <c r="E134" i="26"/>
  <c r="D134" i="26"/>
  <c r="E133" i="26"/>
  <c r="D133" i="26"/>
  <c r="D132" i="26"/>
  <c r="D130" i="26"/>
  <c r="E129" i="26"/>
  <c r="D129" i="26"/>
  <c r="D128" i="26"/>
  <c r="E127" i="26"/>
  <c r="D127" i="26"/>
  <c r="D126" i="26"/>
  <c r="D125" i="26"/>
  <c r="D124" i="26"/>
  <c r="D123" i="26"/>
  <c r="E121" i="26"/>
  <c r="D121" i="26"/>
  <c r="E120" i="26"/>
  <c r="D120" i="26"/>
  <c r="D119" i="26"/>
  <c r="D117" i="26"/>
  <c r="D116" i="26"/>
  <c r="D115" i="26"/>
  <c r="E110" i="26"/>
  <c r="D110" i="26"/>
  <c r="D111" i="26"/>
  <c r="D109" i="26"/>
  <c r="D108" i="26"/>
  <c r="D107" i="26"/>
  <c r="D106" i="26"/>
  <c r="E105" i="26"/>
  <c r="D105" i="26"/>
  <c r="E104" i="26"/>
  <c r="D104" i="26"/>
  <c r="G103" i="26"/>
  <c r="F103" i="26"/>
  <c r="E103" i="26"/>
  <c r="D103" i="26"/>
  <c r="D102" i="26"/>
  <c r="C102" i="26"/>
  <c r="C71" i="26"/>
  <c r="C32" i="26"/>
  <c r="D72" i="26"/>
  <c r="C72" i="26"/>
  <c r="C73" i="26"/>
  <c r="E78" i="26"/>
  <c r="D78" i="26"/>
  <c r="C78" i="26"/>
  <c r="D79" i="26"/>
  <c r="C79" i="26"/>
  <c r="C80" i="26"/>
  <c r="E95" i="26"/>
  <c r="D95" i="26"/>
  <c r="C95" i="26"/>
  <c r="E92" i="26"/>
  <c r="D92" i="26"/>
  <c r="C92" i="26"/>
  <c r="E91" i="26"/>
  <c r="D91" i="26"/>
  <c r="C91" i="26"/>
  <c r="C93" i="26"/>
  <c r="D94" i="26"/>
  <c r="C94" i="26"/>
  <c r="D97" i="26"/>
  <c r="C97" i="26"/>
  <c r="C96" i="26"/>
  <c r="E82" i="26"/>
  <c r="D82" i="26"/>
  <c r="C82" i="26"/>
  <c r="E21" i="26"/>
  <c r="D21" i="26"/>
  <c r="C21" i="26"/>
  <c r="E18" i="26"/>
  <c r="D18" i="26"/>
  <c r="C18" i="26"/>
  <c r="C20" i="26"/>
  <c r="C19" i="26"/>
  <c r="D17" i="26"/>
  <c r="C17" i="26"/>
  <c r="C23" i="26"/>
  <c r="C22" i="26"/>
  <c r="E90" i="26"/>
  <c r="D90" i="26"/>
  <c r="C90" i="26"/>
  <c r="E57" i="26"/>
  <c r="D57" i="26"/>
  <c r="C57" i="26"/>
  <c r="E69" i="26"/>
  <c r="D69" i="26"/>
  <c r="C69" i="26"/>
  <c r="D86" i="26"/>
  <c r="C86" i="26"/>
  <c r="D84" i="26"/>
  <c r="C84" i="26"/>
  <c r="D8" i="26"/>
  <c r="C8" i="26"/>
  <c r="D35" i="26"/>
  <c r="C35" i="26"/>
  <c r="D56" i="26"/>
  <c r="C56" i="26"/>
  <c r="C11" i="26"/>
  <c r="D48" i="26"/>
  <c r="C48" i="26"/>
  <c r="D46" i="26"/>
  <c r="C46" i="26"/>
  <c r="D45" i="26"/>
  <c r="C45" i="26"/>
  <c r="C47" i="26"/>
  <c r="E42" i="26"/>
  <c r="D42" i="26"/>
  <c r="C42" i="26"/>
  <c r="E34" i="26"/>
  <c r="D34" i="26"/>
  <c r="C34" i="26"/>
  <c r="D7" i="26"/>
  <c r="C7" i="26"/>
  <c r="D24" i="26"/>
  <c r="C24" i="26"/>
  <c r="C39" i="26"/>
  <c r="D66" i="26"/>
  <c r="C66" i="26"/>
  <c r="D67" i="26"/>
  <c r="C67" i="26"/>
  <c r="C70" i="26"/>
  <c r="C68" i="26"/>
  <c r="D64" i="26"/>
  <c r="C64" i="26"/>
  <c r="C65" i="26"/>
  <c r="C37" i="26"/>
  <c r="D43" i="26"/>
  <c r="C43" i="26"/>
  <c r="D75" i="26"/>
  <c r="C75" i="26"/>
  <c r="C9" i="26"/>
  <c r="D63" i="26"/>
  <c r="C63" i="26"/>
  <c r="C87" i="26"/>
  <c r="C30" i="26"/>
  <c r="D36" i="26"/>
  <c r="C36" i="26"/>
  <c r="D41" i="26"/>
  <c r="C41" i="26"/>
  <c r="D58" i="26"/>
  <c r="C58" i="26"/>
  <c r="D44" i="26"/>
  <c r="C44" i="26"/>
  <c r="D27" i="26"/>
  <c r="C27" i="26"/>
  <c r="D15" i="26"/>
  <c r="C15" i="26"/>
  <c r="D54" i="26"/>
  <c r="C54" i="26"/>
  <c r="D55" i="26"/>
  <c r="C55" i="26"/>
  <c r="D74" i="26"/>
  <c r="C74" i="26"/>
  <c r="D29" i="26"/>
  <c r="C29" i="26"/>
  <c r="C76" i="26"/>
  <c r="D60" i="26"/>
  <c r="C60" i="26"/>
  <c r="D61" i="26"/>
  <c r="C61" i="26"/>
  <c r="D49" i="26"/>
  <c r="C49" i="26"/>
  <c r="C50" i="26"/>
  <c r="C59" i="26"/>
  <c r="D53" i="26"/>
  <c r="C53" i="26"/>
  <c r="D62" i="26"/>
  <c r="C62" i="26"/>
  <c r="C38" i="26"/>
  <c r="D40" i="26"/>
  <c r="C40" i="26"/>
  <c r="C81" i="26"/>
  <c r="D6" i="26"/>
  <c r="C6" i="26"/>
  <c r="D28" i="26"/>
  <c r="C28" i="26"/>
  <c r="D51" i="26"/>
  <c r="C51" i="26"/>
  <c r="C14" i="26"/>
  <c r="D31" i="26"/>
  <c r="C31" i="26"/>
  <c r="D10" i="26"/>
  <c r="C10" i="26"/>
  <c r="D5" i="26"/>
  <c r="C5" i="26"/>
  <c r="D89" i="26"/>
  <c r="C89" i="26"/>
  <c r="D77" i="26"/>
  <c r="C77" i="26"/>
  <c r="D33" i="26"/>
  <c r="C33" i="26"/>
  <c r="D83" i="26"/>
  <c r="C83" i="26"/>
  <c r="D25" i="26"/>
  <c r="C25" i="26"/>
  <c r="D26" i="26"/>
  <c r="C26" i="26"/>
  <c r="D13" i="26"/>
  <c r="C13" i="26"/>
  <c r="D52" i="26"/>
  <c r="C52" i="26"/>
  <c r="D85" i="26"/>
  <c r="C85" i="26"/>
  <c r="D16" i="26"/>
  <c r="C16" i="26"/>
  <c r="C88" i="26"/>
  <c r="D12" i="26"/>
  <c r="C12" i="26"/>
  <c r="B290" i="22"/>
  <c r="D290" i="22"/>
  <c r="C290" i="22"/>
  <c r="B290" i="21"/>
  <c r="D259" i="26"/>
  <c r="D184" i="26"/>
  <c r="B290" i="20"/>
  <c r="E254" i="26"/>
  <c r="D196" i="26"/>
  <c r="D180" i="26"/>
  <c r="E125" i="26"/>
  <c r="E118" i="26"/>
  <c r="D118" i="26"/>
  <c r="B290" i="19"/>
  <c r="E243" i="26"/>
  <c r="B290" i="18"/>
  <c r="C262" i="17"/>
  <c r="B290" i="24" s="1"/>
  <c r="B290" i="16"/>
  <c r="C16" i="31" s="1"/>
  <c r="F11" i="7"/>
  <c r="E11" i="7"/>
  <c r="B290" i="14"/>
  <c r="B289" i="13"/>
  <c r="B290" i="12"/>
  <c r="E224" i="26"/>
  <c r="D223" i="26"/>
  <c r="E140" i="26"/>
  <c r="E109" i="26"/>
  <c r="E7" i="7"/>
  <c r="F6" i="7"/>
  <c r="E6" i="7"/>
  <c r="B290" i="9"/>
  <c r="C5" i="31" s="1"/>
  <c r="E233" i="26"/>
  <c r="E187" i="26"/>
  <c r="D156" i="26"/>
  <c r="D150" i="26"/>
  <c r="E141" i="26"/>
  <c r="E114" i="26"/>
  <c r="G738" i="25"/>
  <c r="F738" i="25"/>
  <c r="E738" i="25"/>
  <c r="I725" i="25"/>
  <c r="J725" i="25" s="1"/>
  <c r="H704" i="25"/>
  <c r="I704" i="25" s="1"/>
  <c r="J704" i="25" s="1"/>
  <c r="H726" i="25"/>
  <c r="I726" i="25" s="1"/>
  <c r="J726" i="25" s="1"/>
  <c r="H721" i="25"/>
  <c r="I721" i="25" s="1"/>
  <c r="J721" i="25" s="1"/>
  <c r="I722" i="25"/>
  <c r="J722" i="25" s="1"/>
  <c r="I723" i="25"/>
  <c r="J723" i="25" s="1"/>
  <c r="H715" i="25"/>
  <c r="I715" i="25" s="1"/>
  <c r="J715" i="25" s="1"/>
  <c r="H716" i="25"/>
  <c r="I716" i="25" s="1"/>
  <c r="J716" i="25" s="1"/>
  <c r="H717" i="25"/>
  <c r="I717" i="25" s="1"/>
  <c r="J717" i="25" s="1"/>
  <c r="I730" i="25"/>
  <c r="J730" i="25" s="1"/>
  <c r="H736" i="25"/>
  <c r="I736" i="25" s="1"/>
  <c r="J736" i="25" s="1"/>
  <c r="H718" i="25"/>
  <c r="I718" i="25" s="1"/>
  <c r="J718" i="25" s="1"/>
  <c r="I711" i="25"/>
  <c r="J711" i="25" s="1"/>
  <c r="H708" i="25"/>
  <c r="I708" i="25" s="1"/>
  <c r="J708" i="25" s="1"/>
  <c r="H734" i="25"/>
  <c r="I734" i="25" s="1"/>
  <c r="J734" i="25" s="1"/>
  <c r="H727" i="25"/>
  <c r="I727" i="25" s="1"/>
  <c r="J727" i="25" s="1"/>
  <c r="H714" i="25"/>
  <c r="I714" i="25" s="1"/>
  <c r="J714" i="25" s="1"/>
  <c r="H712" i="25"/>
  <c r="I712" i="25" s="1"/>
  <c r="J712" i="25" s="1"/>
  <c r="H705" i="25"/>
  <c r="I705" i="25" s="1"/>
  <c r="J705" i="25" s="1"/>
  <c r="H710" i="25"/>
  <c r="I710" i="25" s="1"/>
  <c r="J710" i="25" s="1"/>
  <c r="H709" i="25"/>
  <c r="I709" i="25" s="1"/>
  <c r="J709" i="25" s="1"/>
  <c r="H719" i="25"/>
  <c r="I719" i="25" s="1"/>
  <c r="J719" i="25" s="1"/>
  <c r="H732" i="25"/>
  <c r="I732" i="25" s="1"/>
  <c r="J732" i="25" s="1"/>
  <c r="H724" i="25"/>
  <c r="I724" i="25" s="1"/>
  <c r="J724" i="25" s="1"/>
  <c r="H706" i="25"/>
  <c r="I706" i="25" s="1"/>
  <c r="J706" i="25" s="1"/>
  <c r="H737" i="25"/>
  <c r="I737" i="25" s="1"/>
  <c r="J737" i="25" s="1"/>
  <c r="H729" i="25"/>
  <c r="I729" i="25" s="1"/>
  <c r="J729" i="25" s="1"/>
  <c r="H720" i="25"/>
  <c r="I720" i="25" s="1"/>
  <c r="J720" i="25" s="1"/>
  <c r="H703" i="25"/>
  <c r="I703" i="25" s="1"/>
  <c r="J703" i="25" s="1"/>
  <c r="H733" i="25"/>
  <c r="I733" i="25" s="1"/>
  <c r="J733" i="25" s="1"/>
  <c r="H735" i="25"/>
  <c r="I735" i="25" s="1"/>
  <c r="J735" i="25" s="1"/>
  <c r="H728" i="25"/>
  <c r="I728" i="25" s="1"/>
  <c r="J728" i="25" s="1"/>
  <c r="H707" i="25"/>
  <c r="I707" i="25" s="1"/>
  <c r="J707" i="25" s="1"/>
  <c r="H731" i="25"/>
  <c r="I731" i="25" s="1"/>
  <c r="E701" i="25"/>
  <c r="G700" i="25"/>
  <c r="H700" i="25" s="1"/>
  <c r="I700" i="25" s="1"/>
  <c r="J700" i="25" s="1"/>
  <c r="G699" i="25"/>
  <c r="H699" i="25" s="1"/>
  <c r="I699" i="25" s="1"/>
  <c r="J699" i="25" s="1"/>
  <c r="G698" i="25"/>
  <c r="H698" i="25" s="1"/>
  <c r="I698" i="25" s="1"/>
  <c r="J698" i="25" s="1"/>
  <c r="G697" i="25"/>
  <c r="H697" i="25" s="1"/>
  <c r="I697" i="25" s="1"/>
  <c r="J697" i="25" s="1"/>
  <c r="G696" i="25"/>
  <c r="H696" i="25" s="1"/>
  <c r="I696" i="25" s="1"/>
  <c r="J696" i="25" s="1"/>
  <c r="L695" i="25"/>
  <c r="I695" i="25"/>
  <c r="J695" i="25" s="1"/>
  <c r="F695" i="25"/>
  <c r="G695" i="25" s="1"/>
  <c r="I694" i="25"/>
  <c r="J694" i="25" s="1"/>
  <c r="G694" i="25"/>
  <c r="F693" i="25"/>
  <c r="E687" i="25"/>
  <c r="I674" i="25"/>
  <c r="J674" i="25" s="1"/>
  <c r="G674" i="25"/>
  <c r="G652" i="25"/>
  <c r="H652" i="25" s="1"/>
  <c r="I652" i="25" s="1"/>
  <c r="J652" i="25" s="1"/>
  <c r="G675" i="25"/>
  <c r="H675" i="25" s="1"/>
  <c r="I675" i="25" s="1"/>
  <c r="J675" i="25" s="1"/>
  <c r="G670" i="25"/>
  <c r="H670" i="25" s="1"/>
  <c r="I670" i="25" s="1"/>
  <c r="J670" i="25" s="1"/>
  <c r="I671" i="25"/>
  <c r="J671" i="25" s="1"/>
  <c r="F671" i="25"/>
  <c r="G671" i="25" s="1"/>
  <c r="I672" i="25"/>
  <c r="J672" i="25" s="1"/>
  <c r="F672" i="25"/>
  <c r="G672" i="25" s="1"/>
  <c r="G664" i="25"/>
  <c r="H664" i="25" s="1"/>
  <c r="I664" i="25" s="1"/>
  <c r="J664" i="25" s="1"/>
  <c r="G665" i="25"/>
  <c r="H665" i="25" s="1"/>
  <c r="I665" i="25" s="1"/>
  <c r="J665" i="25" s="1"/>
  <c r="G666" i="25"/>
  <c r="H666" i="25" s="1"/>
  <c r="I666" i="25" s="1"/>
  <c r="J666" i="25" s="1"/>
  <c r="I679" i="25"/>
  <c r="J679" i="25" s="1"/>
  <c r="G679" i="25"/>
  <c r="G685" i="25"/>
  <c r="H685" i="25" s="1"/>
  <c r="I685" i="25" s="1"/>
  <c r="J685" i="25" s="1"/>
  <c r="G667" i="25"/>
  <c r="H667" i="25" s="1"/>
  <c r="I667" i="25" s="1"/>
  <c r="J667" i="25" s="1"/>
  <c r="I660" i="25"/>
  <c r="J660" i="25" s="1"/>
  <c r="F660" i="25"/>
  <c r="G660" i="25" s="1"/>
  <c r="G656" i="25"/>
  <c r="H656" i="25" s="1"/>
  <c r="I656" i="25" s="1"/>
  <c r="J656" i="25" s="1"/>
  <c r="G683" i="25"/>
  <c r="H683" i="25" s="1"/>
  <c r="I683" i="25" s="1"/>
  <c r="J683" i="25" s="1"/>
  <c r="G676" i="25"/>
  <c r="H676" i="25" s="1"/>
  <c r="I676" i="25" s="1"/>
  <c r="J676" i="25" s="1"/>
  <c r="G663" i="25"/>
  <c r="H663" i="25" s="1"/>
  <c r="I663" i="25" s="1"/>
  <c r="J663" i="25" s="1"/>
  <c r="G661" i="25"/>
  <c r="H661" i="25" s="1"/>
  <c r="I661" i="25" s="1"/>
  <c r="J661" i="25" s="1"/>
  <c r="G653" i="25"/>
  <c r="H653" i="25" s="1"/>
  <c r="I653" i="25" s="1"/>
  <c r="J653" i="25" s="1"/>
  <c r="G659" i="25"/>
  <c r="H659" i="25" s="1"/>
  <c r="I659" i="25" s="1"/>
  <c r="J659" i="25" s="1"/>
  <c r="G658" i="25"/>
  <c r="H658" i="25" s="1"/>
  <c r="I658" i="25" s="1"/>
  <c r="J658" i="25" s="1"/>
  <c r="G668" i="25"/>
  <c r="H668" i="25" s="1"/>
  <c r="I668" i="25" s="1"/>
  <c r="J668" i="25" s="1"/>
  <c r="G681" i="25"/>
  <c r="H681" i="25" s="1"/>
  <c r="I681" i="25" s="1"/>
  <c r="J681" i="25" s="1"/>
  <c r="G673" i="25"/>
  <c r="H673" i="25" s="1"/>
  <c r="I673" i="25" s="1"/>
  <c r="J673" i="25" s="1"/>
  <c r="G654" i="25"/>
  <c r="H654" i="25" s="1"/>
  <c r="I654" i="25" s="1"/>
  <c r="J654" i="25" s="1"/>
  <c r="G686" i="25"/>
  <c r="H686" i="25" s="1"/>
  <c r="I686" i="25" s="1"/>
  <c r="J686" i="25" s="1"/>
  <c r="G678" i="25"/>
  <c r="H678" i="25" s="1"/>
  <c r="I678" i="25" s="1"/>
  <c r="J678" i="25" s="1"/>
  <c r="G669" i="25"/>
  <c r="H669" i="25" s="1"/>
  <c r="I669" i="25" s="1"/>
  <c r="J669" i="25" s="1"/>
  <c r="G651" i="25"/>
  <c r="H651" i="25" s="1"/>
  <c r="I651" i="25" s="1"/>
  <c r="J651" i="25" s="1"/>
  <c r="G682" i="25"/>
  <c r="H682" i="25" s="1"/>
  <c r="I682" i="25" s="1"/>
  <c r="J682" i="25" s="1"/>
  <c r="G684" i="25"/>
  <c r="H684" i="25" s="1"/>
  <c r="I684" i="25" s="1"/>
  <c r="J684" i="25" s="1"/>
  <c r="G677" i="25"/>
  <c r="H677" i="25" s="1"/>
  <c r="I677" i="25" s="1"/>
  <c r="J677" i="25" s="1"/>
  <c r="G655" i="25"/>
  <c r="H655" i="25" s="1"/>
  <c r="I655" i="25" s="1"/>
  <c r="J655" i="25" s="1"/>
  <c r="F680" i="25"/>
  <c r="E649" i="25"/>
  <c r="G648" i="25"/>
  <c r="H648" i="25" s="1"/>
  <c r="I648" i="25" s="1"/>
  <c r="J648" i="25" s="1"/>
  <c r="G647" i="25"/>
  <c r="H647" i="25" s="1"/>
  <c r="I647" i="25" s="1"/>
  <c r="J647" i="25" s="1"/>
  <c r="G646" i="25"/>
  <c r="H646" i="25" s="1"/>
  <c r="I646" i="25" s="1"/>
  <c r="J646" i="25" s="1"/>
  <c r="G645" i="25"/>
  <c r="H645" i="25" s="1"/>
  <c r="I645" i="25" s="1"/>
  <c r="J645" i="25" s="1"/>
  <c r="I643" i="25"/>
  <c r="J643" i="25" s="1"/>
  <c r="G643" i="25"/>
  <c r="F642" i="25"/>
  <c r="E636" i="25"/>
  <c r="G608" i="25"/>
  <c r="H608" i="25" s="1"/>
  <c r="I608" i="25" s="1"/>
  <c r="J608" i="25" s="1"/>
  <c r="G623" i="25"/>
  <c r="H623" i="25" s="1"/>
  <c r="I623" i="25" s="1"/>
  <c r="J623" i="25" s="1"/>
  <c r="G602" i="25"/>
  <c r="H602" i="25" s="1"/>
  <c r="I602" i="25" s="1"/>
  <c r="J602" i="25" s="1"/>
  <c r="G624" i="25"/>
  <c r="H624" i="25" s="1"/>
  <c r="I624" i="25" s="1"/>
  <c r="J624" i="25" s="1"/>
  <c r="G617" i="25"/>
  <c r="H617" i="25" s="1"/>
  <c r="I617" i="25" s="1"/>
  <c r="J617" i="25" s="1"/>
  <c r="I620" i="25"/>
  <c r="J620" i="25" s="1"/>
  <c r="G620" i="25"/>
  <c r="I621" i="25"/>
  <c r="J621" i="25" s="1"/>
  <c r="G621" i="25"/>
  <c r="G622" i="25"/>
  <c r="H622" i="25" s="1"/>
  <c r="I622" i="25" s="1"/>
  <c r="J622" i="25" s="1"/>
  <c r="G618" i="25"/>
  <c r="H618" i="25" s="1"/>
  <c r="I618" i="25" s="1"/>
  <c r="J618" i="25" s="1"/>
  <c r="G615" i="25"/>
  <c r="H615" i="25" s="1"/>
  <c r="I615" i="25" s="1"/>
  <c r="J615" i="25" s="1"/>
  <c r="I633" i="25"/>
  <c r="J633" i="25" s="1"/>
  <c r="G633" i="25"/>
  <c r="I635" i="25"/>
  <c r="J635" i="25" s="1"/>
  <c r="F635" i="25"/>
  <c r="G635" i="25" s="1"/>
  <c r="I611" i="25"/>
  <c r="J611" i="25" s="1"/>
  <c r="G611" i="25"/>
  <c r="I607" i="25"/>
  <c r="J607" i="25" s="1"/>
  <c r="G607" i="25"/>
  <c r="N619" i="25"/>
  <c r="F631" i="25"/>
  <c r="G631" i="25" s="1"/>
  <c r="H631" i="25" s="1"/>
  <c r="I631" i="25" s="1"/>
  <c r="J631" i="25" s="1"/>
  <c r="I625" i="25"/>
  <c r="J625" i="25" s="1"/>
  <c r="G625" i="25"/>
  <c r="G614" i="25"/>
  <c r="H614" i="25" s="1"/>
  <c r="I614" i="25" s="1"/>
  <c r="J614" i="25" s="1"/>
  <c r="G612" i="25"/>
  <c r="H612" i="25" s="1"/>
  <c r="I612" i="25" s="1"/>
  <c r="J612" i="25" s="1"/>
  <c r="G603" i="25"/>
  <c r="H603" i="25" s="1"/>
  <c r="I603" i="25" s="1"/>
  <c r="J603" i="25" s="1"/>
  <c r="G610" i="25"/>
  <c r="H610" i="25" s="1"/>
  <c r="I610" i="25" s="1"/>
  <c r="J610" i="25" s="1"/>
  <c r="G609" i="25"/>
  <c r="H609" i="25" s="1"/>
  <c r="I609" i="25" s="1"/>
  <c r="J609" i="25" s="1"/>
  <c r="F616" i="25"/>
  <c r="G616" i="25" s="1"/>
  <c r="H616" i="25" s="1"/>
  <c r="I616" i="25" s="1"/>
  <c r="J616" i="25" s="1"/>
  <c r="G629" i="25"/>
  <c r="H629" i="25" s="1"/>
  <c r="I629" i="25" s="1"/>
  <c r="J629" i="25" s="1"/>
  <c r="G604" i="25"/>
  <c r="H604" i="25" s="1"/>
  <c r="I604" i="25" s="1"/>
  <c r="J604" i="25" s="1"/>
  <c r="G634" i="25"/>
  <c r="H634" i="25" s="1"/>
  <c r="I634" i="25" s="1"/>
  <c r="J634" i="25" s="1"/>
  <c r="G627" i="25"/>
  <c r="H627" i="25" s="1"/>
  <c r="I627" i="25" s="1"/>
  <c r="J627" i="25" s="1"/>
  <c r="G601" i="25"/>
  <c r="H601" i="25" s="1"/>
  <c r="I601" i="25" s="1"/>
  <c r="J601" i="25" s="1"/>
  <c r="I630" i="25"/>
  <c r="J630" i="25" s="1"/>
  <c r="G630" i="25"/>
  <c r="G632" i="25"/>
  <c r="H632" i="25" s="1"/>
  <c r="I632" i="25" s="1"/>
  <c r="J632" i="25" s="1"/>
  <c r="I626" i="25"/>
  <c r="J626" i="25" s="1"/>
  <c r="G626" i="25"/>
  <c r="G605" i="25"/>
  <c r="H605" i="25" s="1"/>
  <c r="I605" i="25" s="1"/>
  <c r="J605" i="25" s="1"/>
  <c r="F628" i="25"/>
  <c r="E599" i="25"/>
  <c r="G598" i="25"/>
  <c r="H598" i="25" s="1"/>
  <c r="I598" i="25" s="1"/>
  <c r="J598" i="25" s="1"/>
  <c r="G597" i="25"/>
  <c r="H597" i="25" s="1"/>
  <c r="I597" i="25" s="1"/>
  <c r="J597" i="25" s="1"/>
  <c r="G596" i="25"/>
  <c r="H596" i="25" s="1"/>
  <c r="I596" i="25" s="1"/>
  <c r="J596" i="25" s="1"/>
  <c r="G595" i="25"/>
  <c r="H595" i="25" s="1"/>
  <c r="I595" i="25" s="1"/>
  <c r="J595" i="25" s="1"/>
  <c r="I591" i="25"/>
  <c r="J591" i="25" s="1"/>
  <c r="F591" i="25"/>
  <c r="G591" i="25" s="1"/>
  <c r="G590" i="25"/>
  <c r="H590" i="25" s="1"/>
  <c r="I590" i="25" s="1"/>
  <c r="J590" i="25" s="1"/>
  <c r="I589" i="25"/>
  <c r="J589" i="25" s="1"/>
  <c r="G589" i="25"/>
  <c r="F588" i="25"/>
  <c r="I546" i="25"/>
  <c r="J546" i="25" s="1"/>
  <c r="G546" i="25"/>
  <c r="F569" i="25"/>
  <c r="G569" i="25" s="1"/>
  <c r="H569" i="25" s="1"/>
  <c r="I569" i="25" s="1"/>
  <c r="J569" i="25" s="1"/>
  <c r="E569" i="25"/>
  <c r="E582" i="25" s="1"/>
  <c r="G539" i="25"/>
  <c r="H539" i="25" s="1"/>
  <c r="I539" i="25" s="1"/>
  <c r="J539" i="25" s="1"/>
  <c r="I544" i="25"/>
  <c r="J544" i="25" s="1"/>
  <c r="G544" i="25"/>
  <c r="G561" i="25"/>
  <c r="H561" i="25" s="1"/>
  <c r="I561" i="25" s="1"/>
  <c r="J561" i="25" s="1"/>
  <c r="G549" i="25"/>
  <c r="H549" i="25" s="1"/>
  <c r="I549" i="25" s="1"/>
  <c r="J549" i="25" s="1"/>
  <c r="I566" i="25"/>
  <c r="J566" i="25" s="1"/>
  <c r="I565" i="25"/>
  <c r="J565" i="25" s="1"/>
  <c r="I564" i="25"/>
  <c r="J564" i="25" s="1"/>
  <c r="I567" i="25"/>
  <c r="J567" i="25" s="1"/>
  <c r="G567" i="25"/>
  <c r="I563" i="25"/>
  <c r="J563" i="25" s="1"/>
  <c r="F563" i="25"/>
  <c r="G563" i="25" s="1"/>
  <c r="G551" i="25"/>
  <c r="H551" i="25" s="1"/>
  <c r="I551" i="25" s="1"/>
  <c r="J551" i="25" s="1"/>
  <c r="G562" i="25"/>
  <c r="H562" i="25" s="1"/>
  <c r="I562" i="25" s="1"/>
  <c r="J562" i="25" s="1"/>
  <c r="G558" i="25"/>
  <c r="H558" i="25" s="1"/>
  <c r="I558" i="25" s="1"/>
  <c r="J558" i="25" s="1"/>
  <c r="I579" i="25"/>
  <c r="J579" i="25" s="1"/>
  <c r="G579" i="25"/>
  <c r="I553" i="25"/>
  <c r="J553" i="25" s="1"/>
  <c r="G553" i="25"/>
  <c r="G577" i="25"/>
  <c r="H577" i="25" s="1"/>
  <c r="I577" i="25" s="1"/>
  <c r="J577" i="25" s="1"/>
  <c r="I570" i="25"/>
  <c r="J570" i="25" s="1"/>
  <c r="G570" i="25"/>
  <c r="G557" i="25"/>
  <c r="H557" i="25" s="1"/>
  <c r="I557" i="25" s="1"/>
  <c r="J557" i="25" s="1"/>
  <c r="G581" i="25"/>
  <c r="H581" i="25" s="1"/>
  <c r="I581" i="25" s="1"/>
  <c r="J581" i="25" s="1"/>
  <c r="F559" i="25"/>
  <c r="G559" i="25" s="1"/>
  <c r="H559" i="25" s="1"/>
  <c r="I559" i="25" s="1"/>
  <c r="J559" i="25" s="1"/>
  <c r="F543" i="25"/>
  <c r="G550" i="25"/>
  <c r="H550" i="25" s="1"/>
  <c r="I550" i="25" s="1"/>
  <c r="J550" i="25" s="1"/>
  <c r="G555" i="25"/>
  <c r="H555" i="25" s="1"/>
  <c r="I555" i="25" s="1"/>
  <c r="J555" i="25" s="1"/>
  <c r="G540" i="25"/>
  <c r="H540" i="25" s="1"/>
  <c r="I540" i="25" s="1"/>
  <c r="J540" i="25" s="1"/>
  <c r="G548" i="25"/>
  <c r="H548" i="25" s="1"/>
  <c r="I548" i="25" s="1"/>
  <c r="J548" i="25" s="1"/>
  <c r="G547" i="25"/>
  <c r="H547" i="25" s="1"/>
  <c r="I547" i="25" s="1"/>
  <c r="J547" i="25" s="1"/>
  <c r="G560" i="25"/>
  <c r="H560" i="25" s="1"/>
  <c r="I560" i="25" s="1"/>
  <c r="J560" i="25" s="1"/>
  <c r="G554" i="25"/>
  <c r="H554" i="25" s="1"/>
  <c r="I554" i="25" s="1"/>
  <c r="J554" i="25" s="1"/>
  <c r="G574" i="25"/>
  <c r="H574" i="25" s="1"/>
  <c r="I574" i="25" s="1"/>
  <c r="J574" i="25" s="1"/>
  <c r="G568" i="25"/>
  <c r="H568" i="25" s="1"/>
  <c r="I568" i="25" s="1"/>
  <c r="J568" i="25" s="1"/>
  <c r="G541" i="25"/>
  <c r="H541" i="25" s="1"/>
  <c r="I541" i="25" s="1"/>
  <c r="J541" i="25" s="1"/>
  <c r="G580" i="25"/>
  <c r="H580" i="25" s="1"/>
  <c r="I580" i="25" s="1"/>
  <c r="J580" i="25" s="1"/>
  <c r="G572" i="25"/>
  <c r="H572" i="25" s="1"/>
  <c r="I572" i="25" s="1"/>
  <c r="J572" i="25" s="1"/>
  <c r="G538" i="25"/>
  <c r="H538" i="25" s="1"/>
  <c r="I538" i="25" s="1"/>
  <c r="J538" i="25" s="1"/>
  <c r="I575" i="25"/>
  <c r="J575" i="25" s="1"/>
  <c r="G575" i="25"/>
  <c r="G578" i="25"/>
  <c r="H578" i="25" s="1"/>
  <c r="I578" i="25" s="1"/>
  <c r="J578" i="25" s="1"/>
  <c r="I571" i="25"/>
  <c r="J571" i="25" s="1"/>
  <c r="G571" i="25"/>
  <c r="G542" i="25"/>
  <c r="H542" i="25" s="1"/>
  <c r="I542" i="25" s="1"/>
  <c r="J542" i="25" s="1"/>
  <c r="F573" i="25"/>
  <c r="G573" i="25" s="1"/>
  <c r="H573" i="25" s="1"/>
  <c r="I573" i="25" s="1"/>
  <c r="J573" i="25" s="1"/>
  <c r="E536" i="25"/>
  <c r="I535" i="25"/>
  <c r="J535" i="25" s="1"/>
  <c r="G535" i="25"/>
  <c r="G534" i="25"/>
  <c r="H534" i="25" s="1"/>
  <c r="I534" i="25" s="1"/>
  <c r="J534" i="25" s="1"/>
  <c r="G533" i="25"/>
  <c r="H533" i="25" s="1"/>
  <c r="I533" i="25" s="1"/>
  <c r="J533" i="25" s="1"/>
  <c r="G532" i="25"/>
  <c r="H532" i="25" s="1"/>
  <c r="I532" i="25" s="1"/>
  <c r="J532" i="25" s="1"/>
  <c r="I531" i="25"/>
  <c r="J531" i="25" s="1"/>
  <c r="I530" i="25"/>
  <c r="J530" i="25" s="1"/>
  <c r="G530" i="25"/>
  <c r="I529" i="25"/>
  <c r="J529" i="25" s="1"/>
  <c r="F529" i="25"/>
  <c r="G529" i="25" s="1"/>
  <c r="I528" i="25"/>
  <c r="J528" i="25" s="1"/>
  <c r="F528" i="25"/>
  <c r="G528" i="25" s="1"/>
  <c r="I527" i="25"/>
  <c r="J527" i="25" s="1"/>
  <c r="G527" i="25"/>
  <c r="F526" i="25"/>
  <c r="G526" i="25" s="1"/>
  <c r="H526" i="25" s="1"/>
  <c r="I526" i="25" s="1"/>
  <c r="J526" i="25" s="1"/>
  <c r="F525" i="25"/>
  <c r="G525" i="25" s="1"/>
  <c r="H525" i="25" s="1"/>
  <c r="I525" i="25" s="1"/>
  <c r="J525" i="25" s="1"/>
  <c r="E519" i="25"/>
  <c r="G497" i="25"/>
  <c r="H497" i="25" s="1"/>
  <c r="I497" i="25" s="1"/>
  <c r="J497" i="25" s="1"/>
  <c r="G504" i="25"/>
  <c r="H504" i="25" s="1"/>
  <c r="I504" i="25" s="1"/>
  <c r="J504" i="25" s="1"/>
  <c r="G499" i="25"/>
  <c r="H499" i="25" s="1"/>
  <c r="I499" i="25" s="1"/>
  <c r="J499" i="25" s="1"/>
  <c r="H506" i="25"/>
  <c r="I506" i="25" s="1"/>
  <c r="J506" i="25" s="1"/>
  <c r="G506" i="25"/>
  <c r="I507" i="25"/>
  <c r="J507" i="25" s="1"/>
  <c r="G507" i="25"/>
  <c r="I505" i="25"/>
  <c r="J505" i="25" s="1"/>
  <c r="G505" i="25"/>
  <c r="I515" i="25"/>
  <c r="J515" i="25" s="1"/>
  <c r="G515" i="25"/>
  <c r="I500" i="25"/>
  <c r="J500" i="25" s="1"/>
  <c r="F500" i="25"/>
  <c r="G500" i="25" s="1"/>
  <c r="G496" i="25"/>
  <c r="H496" i="25" s="1"/>
  <c r="I496" i="25" s="1"/>
  <c r="J496" i="25" s="1"/>
  <c r="I509" i="25"/>
  <c r="J509" i="25" s="1"/>
  <c r="G509" i="25"/>
  <c r="G502" i="25"/>
  <c r="H502" i="25" s="1"/>
  <c r="I502" i="25" s="1"/>
  <c r="J502" i="25" s="1"/>
  <c r="G501" i="25"/>
  <c r="H501" i="25" s="1"/>
  <c r="I501" i="25" s="1"/>
  <c r="J501" i="25" s="1"/>
  <c r="G493" i="25"/>
  <c r="H493" i="25" s="1"/>
  <c r="I493" i="25" s="1"/>
  <c r="J493" i="25" s="1"/>
  <c r="G498" i="25"/>
  <c r="H498" i="25" s="1"/>
  <c r="I498" i="25" s="1"/>
  <c r="J498" i="25" s="1"/>
  <c r="G503" i="25"/>
  <c r="H503" i="25" s="1"/>
  <c r="I503" i="25" s="1"/>
  <c r="J503" i="25" s="1"/>
  <c r="H518" i="25"/>
  <c r="N502" i="25"/>
  <c r="G513" i="25"/>
  <c r="H513" i="25" s="1"/>
  <c r="I513" i="25" s="1"/>
  <c r="J513" i="25" s="1"/>
  <c r="G508" i="25"/>
  <c r="H508" i="25" s="1"/>
  <c r="I508" i="25" s="1"/>
  <c r="J508" i="25" s="1"/>
  <c r="G494" i="25"/>
  <c r="H494" i="25" s="1"/>
  <c r="I494" i="25" s="1"/>
  <c r="J494" i="25" s="1"/>
  <c r="G517" i="25"/>
  <c r="H517" i="25" s="1"/>
  <c r="I517" i="25" s="1"/>
  <c r="J517" i="25" s="1"/>
  <c r="G511" i="25"/>
  <c r="H511" i="25" s="1"/>
  <c r="I511" i="25" s="1"/>
  <c r="J511" i="25" s="1"/>
  <c r="G492" i="25"/>
  <c r="H492" i="25" s="1"/>
  <c r="I492" i="25" s="1"/>
  <c r="J492" i="25" s="1"/>
  <c r="G514" i="25"/>
  <c r="H514" i="25" s="1"/>
  <c r="I514" i="25" s="1"/>
  <c r="J514" i="25" s="1"/>
  <c r="G516" i="25"/>
  <c r="H516" i="25" s="1"/>
  <c r="I516" i="25" s="1"/>
  <c r="J516" i="25" s="1"/>
  <c r="G510" i="25"/>
  <c r="H510" i="25" s="1"/>
  <c r="I510" i="25" s="1"/>
  <c r="J510" i="25" s="1"/>
  <c r="G495" i="25"/>
  <c r="H495" i="25" s="1"/>
  <c r="I495" i="25" s="1"/>
  <c r="J495" i="25" s="1"/>
  <c r="F512" i="25"/>
  <c r="G512" i="25" s="1"/>
  <c r="H512" i="25" s="1"/>
  <c r="F490" i="25"/>
  <c r="E490" i="25"/>
  <c r="G489" i="25"/>
  <c r="H489" i="25" s="1"/>
  <c r="I489" i="25" s="1"/>
  <c r="J489" i="25" s="1"/>
  <c r="G488" i="25"/>
  <c r="H488" i="25" s="1"/>
  <c r="I488" i="25" s="1"/>
  <c r="J488" i="25" s="1"/>
  <c r="G486" i="25"/>
  <c r="F480" i="25"/>
  <c r="E480" i="25"/>
  <c r="G451" i="25"/>
  <c r="H451" i="25" s="1"/>
  <c r="I451" i="25" s="1"/>
  <c r="J451" i="25" s="1"/>
  <c r="G456" i="25"/>
  <c r="H456" i="25" s="1"/>
  <c r="I456" i="25" s="1"/>
  <c r="J456" i="25" s="1"/>
  <c r="G461" i="25"/>
  <c r="H461" i="25" s="1"/>
  <c r="I461" i="25" s="1"/>
  <c r="J461" i="25" s="1"/>
  <c r="G464" i="25"/>
  <c r="H464" i="25" s="1"/>
  <c r="I464" i="25" s="1"/>
  <c r="J464" i="25" s="1"/>
  <c r="G468" i="25"/>
  <c r="H468" i="25" s="1"/>
  <c r="I468" i="25" s="1"/>
  <c r="J468" i="25" s="1"/>
  <c r="G450" i="25"/>
  <c r="H450" i="25" s="1"/>
  <c r="I450" i="25" s="1"/>
  <c r="J450" i="25" s="1"/>
  <c r="G478" i="25"/>
  <c r="H478" i="25" s="1"/>
  <c r="I478" i="25" s="1"/>
  <c r="J478" i="25" s="1"/>
  <c r="G469" i="25"/>
  <c r="H469" i="25" s="1"/>
  <c r="I469" i="25" s="1"/>
  <c r="J469" i="25" s="1"/>
  <c r="G457" i="25"/>
  <c r="H457" i="25" s="1"/>
  <c r="I457" i="25" s="1"/>
  <c r="J457" i="25" s="1"/>
  <c r="G465" i="25"/>
  <c r="H465" i="25" s="1"/>
  <c r="I465" i="25" s="1"/>
  <c r="J465" i="25" s="1"/>
  <c r="G472" i="25"/>
  <c r="H472" i="25" s="1"/>
  <c r="I472" i="25" s="1"/>
  <c r="J472" i="25" s="1"/>
  <c r="G473" i="25"/>
  <c r="H473" i="25" s="1"/>
  <c r="I473" i="25" s="1"/>
  <c r="J473" i="25" s="1"/>
  <c r="G477" i="25"/>
  <c r="H477" i="25" s="1"/>
  <c r="I477" i="25" s="1"/>
  <c r="J477" i="25" s="1"/>
  <c r="G475" i="25"/>
  <c r="H475" i="25" s="1"/>
  <c r="I475" i="25" s="1"/>
  <c r="J475" i="25" s="1"/>
  <c r="G476" i="25"/>
  <c r="H476" i="25" s="1"/>
  <c r="I476" i="25" s="1"/>
  <c r="J476" i="25" s="1"/>
  <c r="G458" i="25"/>
  <c r="H458" i="25" s="1"/>
  <c r="I458" i="25" s="1"/>
  <c r="J458" i="25" s="1"/>
  <c r="G462" i="25"/>
  <c r="H462" i="25" s="1"/>
  <c r="I462" i="25" s="1"/>
  <c r="J462" i="25" s="1"/>
  <c r="G463" i="25"/>
  <c r="H463" i="25" s="1"/>
  <c r="I463" i="25" s="1"/>
  <c r="J463" i="25" s="1"/>
  <c r="G474" i="25"/>
  <c r="H474" i="25" s="1"/>
  <c r="I474" i="25" s="1"/>
  <c r="J474" i="25" s="1"/>
  <c r="G452" i="25"/>
  <c r="H452" i="25" s="1"/>
  <c r="I452" i="25" s="1"/>
  <c r="J452" i="25" s="1"/>
  <c r="G460" i="25"/>
  <c r="H460" i="25" s="1"/>
  <c r="I460" i="25" s="1"/>
  <c r="J460" i="25" s="1"/>
  <c r="G447" i="25"/>
  <c r="H447" i="25" s="1"/>
  <c r="I447" i="25" s="1"/>
  <c r="J447" i="25" s="1"/>
  <c r="G471" i="25"/>
  <c r="H471" i="25" s="1"/>
  <c r="I471" i="25" s="1"/>
  <c r="J471" i="25" s="1"/>
  <c r="G470" i="25"/>
  <c r="H470" i="25" s="1"/>
  <c r="I470" i="25" s="1"/>
  <c r="J470" i="25" s="1"/>
  <c r="G453" i="25"/>
  <c r="H453" i="25" s="1"/>
  <c r="I453" i="25" s="1"/>
  <c r="J453" i="25" s="1"/>
  <c r="G479" i="25"/>
  <c r="H479" i="25" s="1"/>
  <c r="I479" i="25" s="1"/>
  <c r="J479" i="25" s="1"/>
  <c r="G449" i="25"/>
  <c r="H449" i="25" s="1"/>
  <c r="I449" i="25" s="1"/>
  <c r="J449" i="25" s="1"/>
  <c r="G446" i="25"/>
  <c r="H446" i="25" s="1"/>
  <c r="I446" i="25" s="1"/>
  <c r="J446" i="25" s="1"/>
  <c r="G445" i="25"/>
  <c r="H445" i="25" s="1"/>
  <c r="I445" i="25" s="1"/>
  <c r="J445" i="25" s="1"/>
  <c r="G444" i="25"/>
  <c r="H444" i="25" s="1"/>
  <c r="I444" i="25" s="1"/>
  <c r="J444" i="25" s="1"/>
  <c r="G455" i="25"/>
  <c r="H455" i="25" s="1"/>
  <c r="I455" i="25" s="1"/>
  <c r="J455" i="25" s="1"/>
  <c r="G448" i="25"/>
  <c r="H448" i="25" s="1"/>
  <c r="I448" i="25" s="1"/>
  <c r="J448" i="25" s="1"/>
  <c r="G454" i="25"/>
  <c r="H454" i="25" s="1"/>
  <c r="I454" i="25" s="1"/>
  <c r="J454" i="25" s="1"/>
  <c r="G459" i="25"/>
  <c r="H459" i="25" s="1"/>
  <c r="I459" i="25" s="1"/>
  <c r="J459" i="25" s="1"/>
  <c r="G466" i="25"/>
  <c r="H466" i="25" s="1"/>
  <c r="I466" i="25" s="1"/>
  <c r="J466" i="25" s="1"/>
  <c r="G467" i="25"/>
  <c r="H467" i="25" s="1"/>
  <c r="E442" i="25"/>
  <c r="G441" i="25"/>
  <c r="H441" i="25" s="1"/>
  <c r="I441" i="25" s="1"/>
  <c r="J441" i="25" s="1"/>
  <c r="G440" i="25"/>
  <c r="H440" i="25" s="1"/>
  <c r="I440" i="25" s="1"/>
  <c r="J440" i="25" s="1"/>
  <c r="G439" i="25"/>
  <c r="H439" i="25" s="1"/>
  <c r="I439" i="25" s="1"/>
  <c r="J439" i="25" s="1"/>
  <c r="G438" i="25"/>
  <c r="H438" i="25" s="1"/>
  <c r="I438" i="25" s="1"/>
  <c r="J438" i="25" s="1"/>
  <c r="G437" i="25"/>
  <c r="H437" i="25" s="1"/>
  <c r="I437" i="25" s="1"/>
  <c r="J437" i="25" s="1"/>
  <c r="G436" i="25"/>
  <c r="H436" i="25" s="1"/>
  <c r="I436" i="25" s="1"/>
  <c r="J436" i="25" s="1"/>
  <c r="F435" i="25"/>
  <c r="G435" i="25" s="1"/>
  <c r="H435" i="25" s="1"/>
  <c r="I435" i="25" s="1"/>
  <c r="J435" i="25" s="1"/>
  <c r="G434" i="25"/>
  <c r="H434" i="25" s="1"/>
  <c r="E428" i="25"/>
  <c r="G404" i="25"/>
  <c r="H404" i="25" s="1"/>
  <c r="I404" i="25" s="1"/>
  <c r="J404" i="25" s="1"/>
  <c r="G417" i="25"/>
  <c r="H417" i="25" s="1"/>
  <c r="I417" i="25" s="1"/>
  <c r="J417" i="25" s="1"/>
  <c r="G418" i="25"/>
  <c r="H418" i="25" s="1"/>
  <c r="I418" i="25" s="1"/>
  <c r="J418" i="25" s="1"/>
  <c r="G413" i="25"/>
  <c r="H413" i="25" s="1"/>
  <c r="I413" i="25" s="1"/>
  <c r="J413" i="25" s="1"/>
  <c r="G422" i="25"/>
  <c r="H422" i="25" s="1"/>
  <c r="I422" i="25" s="1"/>
  <c r="J422" i="25" s="1"/>
  <c r="G414" i="25"/>
  <c r="H414" i="25" s="1"/>
  <c r="I414" i="25" s="1"/>
  <c r="J414" i="25" s="1"/>
  <c r="G415" i="25"/>
  <c r="H415" i="25" s="1"/>
  <c r="I415" i="25" s="1"/>
  <c r="J415" i="25" s="1"/>
  <c r="G410" i="25"/>
  <c r="H410" i="25" s="1"/>
  <c r="I410" i="25" s="1"/>
  <c r="J410" i="25" s="1"/>
  <c r="G411" i="25"/>
  <c r="H411" i="25" s="1"/>
  <c r="I411" i="25" s="1"/>
  <c r="J411" i="25" s="1"/>
  <c r="G406" i="25"/>
  <c r="H406" i="25" s="1"/>
  <c r="I406" i="25" s="1"/>
  <c r="J406" i="25" s="1"/>
  <c r="G403" i="25"/>
  <c r="H403" i="25" s="1"/>
  <c r="I403" i="25" s="1"/>
  <c r="J403" i="25" s="1"/>
  <c r="G419" i="25"/>
  <c r="H419" i="25" s="1"/>
  <c r="I419" i="25" s="1"/>
  <c r="J419" i="25" s="1"/>
  <c r="G409" i="25"/>
  <c r="H409" i="25" s="1"/>
  <c r="I409" i="25" s="1"/>
  <c r="J409" i="25" s="1"/>
  <c r="G408" i="25"/>
  <c r="H408" i="25" s="1"/>
  <c r="I408" i="25" s="1"/>
  <c r="J408" i="25" s="1"/>
  <c r="G399" i="25"/>
  <c r="H399" i="25" s="1"/>
  <c r="I399" i="25" s="1"/>
  <c r="J399" i="25" s="1"/>
  <c r="G405" i="25"/>
  <c r="H405" i="25" s="1"/>
  <c r="I405" i="25" s="1"/>
  <c r="J405" i="25" s="1"/>
  <c r="G412" i="25"/>
  <c r="H412" i="25" s="1"/>
  <c r="I412" i="25" s="1"/>
  <c r="J412" i="25" s="1"/>
  <c r="G407" i="25"/>
  <c r="H407" i="25" s="1"/>
  <c r="I407" i="25" s="1"/>
  <c r="J407" i="25" s="1"/>
  <c r="G424" i="25"/>
  <c r="H424" i="25" s="1"/>
  <c r="I424" i="25" s="1"/>
  <c r="J424" i="25" s="1"/>
  <c r="G416" i="25"/>
  <c r="H416" i="25" s="1"/>
  <c r="I416" i="25" s="1"/>
  <c r="J416" i="25" s="1"/>
  <c r="G400" i="25"/>
  <c r="H400" i="25" s="1"/>
  <c r="I400" i="25" s="1"/>
  <c r="J400" i="25" s="1"/>
  <c r="G427" i="25"/>
  <c r="H427" i="25" s="1"/>
  <c r="I427" i="25" s="1"/>
  <c r="J427" i="25" s="1"/>
  <c r="G421" i="25"/>
  <c r="H421" i="25" s="1"/>
  <c r="I421" i="25" s="1"/>
  <c r="J421" i="25" s="1"/>
  <c r="G398" i="25"/>
  <c r="H398" i="25" s="1"/>
  <c r="I398" i="25" s="1"/>
  <c r="J398" i="25" s="1"/>
  <c r="G425" i="25"/>
  <c r="H425" i="25" s="1"/>
  <c r="I425" i="25" s="1"/>
  <c r="J425" i="25" s="1"/>
  <c r="G426" i="25"/>
  <c r="H426" i="25" s="1"/>
  <c r="I426" i="25" s="1"/>
  <c r="J426" i="25" s="1"/>
  <c r="G420" i="25"/>
  <c r="H420" i="25" s="1"/>
  <c r="I420" i="25" s="1"/>
  <c r="J420" i="25" s="1"/>
  <c r="G401" i="25"/>
  <c r="H401" i="25" s="1"/>
  <c r="I401" i="25" s="1"/>
  <c r="J401" i="25" s="1"/>
  <c r="F423" i="25"/>
  <c r="F428" i="25" s="1"/>
  <c r="F396" i="25"/>
  <c r="E396" i="25"/>
  <c r="G395" i="25"/>
  <c r="H395" i="25" s="1"/>
  <c r="I395" i="25" s="1"/>
  <c r="J395" i="25" s="1"/>
  <c r="G394" i="25"/>
  <c r="H394" i="25" s="1"/>
  <c r="I394" i="25" s="1"/>
  <c r="J394" i="25" s="1"/>
  <c r="I393" i="25"/>
  <c r="J393" i="25" s="1"/>
  <c r="G393" i="25"/>
  <c r="G392" i="25"/>
  <c r="H392" i="25" s="1"/>
  <c r="G391" i="25"/>
  <c r="H391" i="25" s="1"/>
  <c r="I391" i="25" s="1"/>
  <c r="J391" i="25" s="1"/>
  <c r="I390" i="25"/>
  <c r="G390" i="25"/>
  <c r="F384" i="25"/>
  <c r="E384" i="25"/>
  <c r="G383" i="25"/>
  <c r="H383" i="25" s="1"/>
  <c r="I383" i="25" s="1"/>
  <c r="J383" i="25" s="1"/>
  <c r="G382" i="25"/>
  <c r="H382" i="25" s="1"/>
  <c r="I382" i="25" s="1"/>
  <c r="J382" i="25" s="1"/>
  <c r="G381" i="25"/>
  <c r="H381" i="25" s="1"/>
  <c r="I381" i="25" s="1"/>
  <c r="J381" i="25" s="1"/>
  <c r="I380" i="25"/>
  <c r="J380" i="25" s="1"/>
  <c r="G380" i="25"/>
  <c r="G379" i="25"/>
  <c r="H379" i="25" s="1"/>
  <c r="I379" i="25" s="1"/>
  <c r="J379" i="25" s="1"/>
  <c r="G378" i="25"/>
  <c r="H378" i="25" s="1"/>
  <c r="I378" i="25" s="1"/>
  <c r="J378" i="25" s="1"/>
  <c r="G377" i="25"/>
  <c r="H377" i="25" s="1"/>
  <c r="I377" i="25" s="1"/>
  <c r="J377" i="25" s="1"/>
  <c r="G376" i="25"/>
  <c r="H376" i="25" s="1"/>
  <c r="I376" i="25" s="1"/>
  <c r="J376" i="25" s="1"/>
  <c r="G374" i="25"/>
  <c r="H374" i="25" s="1"/>
  <c r="I374" i="25" s="1"/>
  <c r="J374" i="25" s="1"/>
  <c r="G373" i="25"/>
  <c r="H373" i="25" s="1"/>
  <c r="I373" i="25" s="1"/>
  <c r="J373" i="25" s="1"/>
  <c r="G372" i="25"/>
  <c r="H372" i="25" s="1"/>
  <c r="I372" i="25" s="1"/>
  <c r="J372" i="25" s="1"/>
  <c r="G371" i="25"/>
  <c r="H371" i="25" s="1"/>
  <c r="I371" i="25" s="1"/>
  <c r="J371" i="25" s="1"/>
  <c r="G370" i="25"/>
  <c r="H370" i="25" s="1"/>
  <c r="I370" i="25" s="1"/>
  <c r="J370" i="25" s="1"/>
  <c r="G369" i="25"/>
  <c r="H369" i="25" s="1"/>
  <c r="I369" i="25" s="1"/>
  <c r="J369" i="25" s="1"/>
  <c r="G368" i="25"/>
  <c r="H368" i="25" s="1"/>
  <c r="I368" i="25" s="1"/>
  <c r="J368" i="25" s="1"/>
  <c r="G367" i="25"/>
  <c r="H367" i="25" s="1"/>
  <c r="I367" i="25" s="1"/>
  <c r="J367" i="25" s="1"/>
  <c r="G366" i="25"/>
  <c r="H366" i="25" s="1"/>
  <c r="I366" i="25" s="1"/>
  <c r="J366" i="25" s="1"/>
  <c r="G365" i="25"/>
  <c r="H365" i="25" s="1"/>
  <c r="I365" i="25" s="1"/>
  <c r="J365" i="25" s="1"/>
  <c r="G364" i="25"/>
  <c r="H364" i="25" s="1"/>
  <c r="I364" i="25" s="1"/>
  <c r="J364" i="25" s="1"/>
  <c r="G363" i="25"/>
  <c r="H363" i="25" s="1"/>
  <c r="I363" i="25" s="1"/>
  <c r="J363" i="25" s="1"/>
  <c r="G362" i="25"/>
  <c r="F360" i="25"/>
  <c r="E360" i="25"/>
  <c r="G359" i="25"/>
  <c r="H359" i="25" s="1"/>
  <c r="I359" i="25" s="1"/>
  <c r="J359" i="25" s="1"/>
  <c r="G358" i="25"/>
  <c r="H358" i="25" s="1"/>
  <c r="I358" i="25" s="1"/>
  <c r="J358" i="25" s="1"/>
  <c r="I357" i="25"/>
  <c r="J357" i="25" s="1"/>
  <c r="G357" i="25"/>
  <c r="G356" i="25"/>
  <c r="H356" i="25" s="1"/>
  <c r="E350" i="25"/>
  <c r="G336" i="25"/>
  <c r="H336" i="25" s="1"/>
  <c r="I336" i="25" s="1"/>
  <c r="J336" i="25" s="1"/>
  <c r="G345" i="25"/>
  <c r="H345" i="25" s="1"/>
  <c r="I345" i="25" s="1"/>
  <c r="J345" i="25" s="1"/>
  <c r="G346" i="25"/>
  <c r="H346" i="25" s="1"/>
  <c r="I346" i="25" s="1"/>
  <c r="J346" i="25" s="1"/>
  <c r="G342" i="25"/>
  <c r="H342" i="25" s="1"/>
  <c r="I342" i="25" s="1"/>
  <c r="J342" i="25" s="1"/>
  <c r="G348" i="25"/>
  <c r="H348" i="25" s="1"/>
  <c r="I348" i="25" s="1"/>
  <c r="J348" i="25" s="1"/>
  <c r="I343" i="25"/>
  <c r="J343" i="25" s="1"/>
  <c r="F343" i="25"/>
  <c r="G343" i="25" s="1"/>
  <c r="G344" i="25"/>
  <c r="H344" i="25" s="1"/>
  <c r="I344" i="25" s="1"/>
  <c r="J344" i="25" s="1"/>
  <c r="G339" i="25"/>
  <c r="H339" i="25" s="1"/>
  <c r="I339" i="25" s="1"/>
  <c r="J339" i="25" s="1"/>
  <c r="G340" i="25"/>
  <c r="H340" i="25" s="1"/>
  <c r="I340" i="25" s="1"/>
  <c r="J340" i="25" s="1"/>
  <c r="I335" i="25"/>
  <c r="J335" i="25" s="1"/>
  <c r="F335" i="25"/>
  <c r="G338" i="25"/>
  <c r="H338" i="25" s="1"/>
  <c r="I338" i="25" s="1"/>
  <c r="J338" i="25" s="1"/>
  <c r="G334" i="25"/>
  <c r="H334" i="25" s="1"/>
  <c r="I334" i="25" s="1"/>
  <c r="J334" i="25" s="1"/>
  <c r="G337" i="25"/>
  <c r="H337" i="25" s="1"/>
  <c r="I337" i="25" s="1"/>
  <c r="J337" i="25" s="1"/>
  <c r="G341" i="25"/>
  <c r="H341" i="25" s="1"/>
  <c r="I341" i="25" s="1"/>
  <c r="J341" i="25" s="1"/>
  <c r="G347" i="25"/>
  <c r="H347" i="25" s="1"/>
  <c r="I347" i="25" s="1"/>
  <c r="J347" i="25" s="1"/>
  <c r="G349" i="25"/>
  <c r="F332" i="25"/>
  <c r="E332" i="25"/>
  <c r="E352" i="25" s="1"/>
  <c r="G331" i="25"/>
  <c r="H331" i="25" s="1"/>
  <c r="I331" i="25" s="1"/>
  <c r="J331" i="25" s="1"/>
  <c r="G330" i="25"/>
  <c r="H330" i="25" s="1"/>
  <c r="I329" i="25"/>
  <c r="J329" i="25" s="1"/>
  <c r="G329" i="25"/>
  <c r="I328" i="25"/>
  <c r="J328" i="25" s="1"/>
  <c r="G328" i="25"/>
  <c r="I327" i="25"/>
  <c r="J327" i="25" s="1"/>
  <c r="G327" i="25"/>
  <c r="E321" i="25"/>
  <c r="G308" i="25"/>
  <c r="H308" i="25" s="1"/>
  <c r="I308" i="25" s="1"/>
  <c r="J308" i="25" s="1"/>
  <c r="G314" i="25"/>
  <c r="H314" i="25" s="1"/>
  <c r="I314" i="25" s="1"/>
  <c r="J314" i="25" s="1"/>
  <c r="G312" i="25"/>
  <c r="H312" i="25" s="1"/>
  <c r="I312" i="25" s="1"/>
  <c r="J312" i="25" s="1"/>
  <c r="I313" i="25"/>
  <c r="J313" i="25" s="1"/>
  <c r="G313" i="25"/>
  <c r="G315" i="25"/>
  <c r="H315" i="25" s="1"/>
  <c r="I315" i="25" s="1"/>
  <c r="J315" i="25" s="1"/>
  <c r="G310" i="25"/>
  <c r="H310" i="25" s="1"/>
  <c r="I310" i="25" s="1"/>
  <c r="J310" i="25" s="1"/>
  <c r="G305" i="25"/>
  <c r="H305" i="25" s="1"/>
  <c r="I305" i="25" s="1"/>
  <c r="J305" i="25" s="1"/>
  <c r="G309" i="25"/>
  <c r="H309" i="25" s="1"/>
  <c r="I309" i="25" s="1"/>
  <c r="J309" i="25" s="1"/>
  <c r="G311" i="25"/>
  <c r="H311" i="25" s="1"/>
  <c r="I311" i="25" s="1"/>
  <c r="J311" i="25" s="1"/>
  <c r="G319" i="25"/>
  <c r="H319" i="25" s="1"/>
  <c r="I319" i="25" s="1"/>
  <c r="J319" i="25" s="1"/>
  <c r="G306" i="25"/>
  <c r="H306" i="25" s="1"/>
  <c r="I306" i="25" s="1"/>
  <c r="J306" i="25" s="1"/>
  <c r="G320" i="25"/>
  <c r="H320" i="25" s="1"/>
  <c r="I320" i="25" s="1"/>
  <c r="J320" i="25" s="1"/>
  <c r="G317" i="25"/>
  <c r="H317" i="25" s="1"/>
  <c r="I317" i="25" s="1"/>
  <c r="J317" i="25" s="1"/>
  <c r="G316" i="25"/>
  <c r="H316" i="25" s="1"/>
  <c r="I316" i="25" s="1"/>
  <c r="J316" i="25" s="1"/>
  <c r="G307" i="25"/>
  <c r="H307" i="25" s="1"/>
  <c r="I307" i="25" s="1"/>
  <c r="J307" i="25" s="1"/>
  <c r="F318" i="25"/>
  <c r="E303" i="25"/>
  <c r="G302" i="25"/>
  <c r="H302" i="25" s="1"/>
  <c r="I302" i="25" s="1"/>
  <c r="J302" i="25" s="1"/>
  <c r="G301" i="25"/>
  <c r="H301" i="25" s="1"/>
  <c r="I301" i="25" s="1"/>
  <c r="J301" i="25" s="1"/>
  <c r="G300" i="25"/>
  <c r="H300" i="25" s="1"/>
  <c r="I300" i="25" s="1"/>
  <c r="J300" i="25" s="1"/>
  <c r="F299" i="25"/>
  <c r="F303" i="25" s="1"/>
  <c r="E293" i="25"/>
  <c r="G271" i="25"/>
  <c r="H271" i="25" s="1"/>
  <c r="I271" i="25" s="1"/>
  <c r="J271" i="25" s="1"/>
  <c r="G283" i="25"/>
  <c r="H283" i="25" s="1"/>
  <c r="I283" i="25" s="1"/>
  <c r="J283" i="25" s="1"/>
  <c r="G284" i="25"/>
  <c r="H284" i="25" s="1"/>
  <c r="I284" i="25" s="1"/>
  <c r="J284" i="25" s="1"/>
  <c r="G278" i="25"/>
  <c r="H278" i="25" s="1"/>
  <c r="I278" i="25" s="1"/>
  <c r="J278" i="25" s="1"/>
  <c r="G281" i="25"/>
  <c r="H281" i="25" s="1"/>
  <c r="I281" i="25" s="1"/>
  <c r="J281" i="25" s="1"/>
  <c r="G280" i="25"/>
  <c r="H280" i="25" s="1"/>
  <c r="I280" i="25" s="1"/>
  <c r="J280" i="25" s="1"/>
  <c r="G285" i="25"/>
  <c r="H285" i="25" s="1"/>
  <c r="I285" i="25" s="1"/>
  <c r="J285" i="25" s="1"/>
  <c r="G291" i="25"/>
  <c r="H291" i="25" s="1"/>
  <c r="I291" i="25" s="1"/>
  <c r="J291" i="25" s="1"/>
  <c r="G279" i="25"/>
  <c r="H279" i="25" s="1"/>
  <c r="I279" i="25" s="1"/>
  <c r="J279" i="25" s="1"/>
  <c r="G290" i="25"/>
  <c r="H290" i="25" s="1"/>
  <c r="I290" i="25" s="1"/>
  <c r="J290" i="25" s="1"/>
  <c r="G276" i="25"/>
  <c r="H276" i="25" s="1"/>
  <c r="I276" i="25" s="1"/>
  <c r="J276" i="25" s="1"/>
  <c r="I273" i="25"/>
  <c r="J273" i="25" s="1"/>
  <c r="F273" i="25"/>
  <c r="F293" i="25" s="1"/>
  <c r="G275" i="25"/>
  <c r="H275" i="25" s="1"/>
  <c r="I275" i="25" s="1"/>
  <c r="J275" i="25" s="1"/>
  <c r="G268" i="25"/>
  <c r="H268" i="25" s="1"/>
  <c r="G272" i="25"/>
  <c r="H272" i="25" s="1"/>
  <c r="I272" i="25" s="1"/>
  <c r="J272" i="25" s="1"/>
  <c r="G277" i="25"/>
  <c r="H277" i="25" s="1"/>
  <c r="I277" i="25" s="1"/>
  <c r="J277" i="25" s="1"/>
  <c r="G274" i="25"/>
  <c r="H274" i="25" s="1"/>
  <c r="I274" i="25" s="1"/>
  <c r="J274" i="25" s="1"/>
  <c r="G289" i="25"/>
  <c r="H289" i="25" s="1"/>
  <c r="I289" i="25" s="1"/>
  <c r="J289" i="25" s="1"/>
  <c r="G282" i="25"/>
  <c r="H282" i="25" s="1"/>
  <c r="I282" i="25" s="1"/>
  <c r="J282" i="25" s="1"/>
  <c r="G269" i="25"/>
  <c r="H269" i="25" s="1"/>
  <c r="I269" i="25" s="1"/>
  <c r="J269" i="25" s="1"/>
  <c r="G292" i="25"/>
  <c r="H292" i="25" s="1"/>
  <c r="I292" i="25" s="1"/>
  <c r="J292" i="25" s="1"/>
  <c r="G287" i="25"/>
  <c r="H287" i="25" s="1"/>
  <c r="I287" i="25" s="1"/>
  <c r="J287" i="25" s="1"/>
  <c r="G286" i="25"/>
  <c r="H286" i="25" s="1"/>
  <c r="I286" i="25" s="1"/>
  <c r="J286" i="25" s="1"/>
  <c r="G270" i="25"/>
  <c r="H270" i="25" s="1"/>
  <c r="I270" i="25" s="1"/>
  <c r="J270" i="25" s="1"/>
  <c r="G288" i="25"/>
  <c r="H288" i="25" s="1"/>
  <c r="I288" i="25" s="1"/>
  <c r="E266" i="25"/>
  <c r="G265" i="25"/>
  <c r="H265" i="25" s="1"/>
  <c r="I265" i="25" s="1"/>
  <c r="J265" i="25" s="1"/>
  <c r="G264" i="25"/>
  <c r="H264" i="25" s="1"/>
  <c r="I264" i="25" s="1"/>
  <c r="J264" i="25" s="1"/>
  <c r="I262" i="25"/>
  <c r="J262" i="25" s="1"/>
  <c r="G262" i="25"/>
  <c r="G261" i="25"/>
  <c r="H261" i="25" s="1"/>
  <c r="I261" i="25" s="1"/>
  <c r="J261" i="25" s="1"/>
  <c r="I260" i="25"/>
  <c r="J260" i="25" s="1"/>
  <c r="G260" i="25"/>
  <c r="G259" i="25"/>
  <c r="H259" i="25" s="1"/>
  <c r="I258" i="25"/>
  <c r="J258" i="25" s="1"/>
  <c r="F258" i="25"/>
  <c r="F266" i="25" s="1"/>
  <c r="E252" i="25"/>
  <c r="G218" i="25"/>
  <c r="H218" i="25" s="1"/>
  <c r="I218" i="25" s="1"/>
  <c r="J218" i="25" s="1"/>
  <c r="G235" i="25"/>
  <c r="H235" i="25" s="1"/>
  <c r="I235" i="25" s="1"/>
  <c r="J235" i="25" s="1"/>
  <c r="G227" i="25"/>
  <c r="H227" i="25" s="1"/>
  <c r="I227" i="25" s="1"/>
  <c r="J227" i="25" s="1"/>
  <c r="G231" i="25"/>
  <c r="H231" i="25" s="1"/>
  <c r="I231" i="25" s="1"/>
  <c r="J231" i="25" s="1"/>
  <c r="G232" i="25"/>
  <c r="H232" i="25" s="1"/>
  <c r="I232" i="25" s="1"/>
  <c r="J232" i="25" s="1"/>
  <c r="G233" i="25"/>
  <c r="H233" i="25" s="1"/>
  <c r="I233" i="25" s="1"/>
  <c r="J233" i="25" s="1"/>
  <c r="G238" i="25"/>
  <c r="H238" i="25" s="1"/>
  <c r="I238" i="25" s="1"/>
  <c r="J238" i="25" s="1"/>
  <c r="G225" i="25"/>
  <c r="H225" i="25" s="1"/>
  <c r="I225" i="25" s="1"/>
  <c r="J225" i="25" s="1"/>
  <c r="G226" i="25"/>
  <c r="H226" i="25" s="1"/>
  <c r="I226" i="25" s="1"/>
  <c r="J226" i="25" s="1"/>
  <c r="G240" i="25"/>
  <c r="H240" i="25" s="1"/>
  <c r="I240" i="25" s="1"/>
  <c r="J240" i="25" s="1"/>
  <c r="G228" i="25"/>
  <c r="H228" i="25" s="1"/>
  <c r="I228" i="25" s="1"/>
  <c r="J228" i="25" s="1"/>
  <c r="F221" i="25"/>
  <c r="G221" i="25" s="1"/>
  <c r="H221" i="25" s="1"/>
  <c r="I221" i="25" s="1"/>
  <c r="J221" i="25" s="1"/>
  <c r="G250" i="25"/>
  <c r="H250" i="25" s="1"/>
  <c r="I250" i="25" s="1"/>
  <c r="J250" i="25" s="1"/>
  <c r="G249" i="25"/>
  <c r="H249" i="25" s="1"/>
  <c r="I249" i="25" s="1"/>
  <c r="J249" i="25" s="1"/>
  <c r="G219" i="25"/>
  <c r="H219" i="25" s="1"/>
  <c r="I219" i="25" s="1"/>
  <c r="J219" i="25" s="1"/>
  <c r="F242" i="25"/>
  <c r="G242" i="25" s="1"/>
  <c r="H242" i="25" s="1"/>
  <c r="I242" i="25" s="1"/>
  <c r="J242" i="25" s="1"/>
  <c r="G230" i="25"/>
  <c r="H230" i="25" s="1"/>
  <c r="I230" i="25" s="1"/>
  <c r="J230" i="25" s="1"/>
  <c r="G247" i="25"/>
  <c r="H247" i="25" s="1"/>
  <c r="I247" i="25" s="1"/>
  <c r="J247" i="25" s="1"/>
  <c r="G214" i="25"/>
  <c r="H214" i="25" s="1"/>
  <c r="I214" i="25" s="1"/>
  <c r="J214" i="25" s="1"/>
  <c r="G241" i="25"/>
  <c r="H241" i="25" s="1"/>
  <c r="I241" i="25" s="1"/>
  <c r="J241" i="25" s="1"/>
  <c r="F239" i="25"/>
  <c r="G239" i="25" s="1"/>
  <c r="H239" i="25" s="1"/>
  <c r="I239" i="25" s="1"/>
  <c r="J239" i="25" s="1"/>
  <c r="G246" i="25"/>
  <c r="H246" i="25" s="1"/>
  <c r="I246" i="25" s="1"/>
  <c r="J246" i="25" s="1"/>
  <c r="G245" i="25"/>
  <c r="H245" i="25" s="1"/>
  <c r="I245" i="25" s="1"/>
  <c r="J245" i="25" s="1"/>
  <c r="G224" i="25"/>
  <c r="H224" i="25" s="1"/>
  <c r="I224" i="25" s="1"/>
  <c r="J224" i="25" s="1"/>
  <c r="G223" i="25"/>
  <c r="H223" i="25" s="1"/>
  <c r="I223" i="25" s="1"/>
  <c r="J223" i="25" s="1"/>
  <c r="G215" i="25"/>
  <c r="H215" i="25" s="1"/>
  <c r="I215" i="25" s="1"/>
  <c r="J215" i="25" s="1"/>
  <c r="G220" i="25"/>
  <c r="H220" i="25" s="1"/>
  <c r="I220" i="25" s="1"/>
  <c r="J220" i="25" s="1"/>
  <c r="G229" i="25"/>
  <c r="H229" i="25" s="1"/>
  <c r="I229" i="25" s="1"/>
  <c r="J229" i="25" s="1"/>
  <c r="G222" i="25"/>
  <c r="H222" i="25" s="1"/>
  <c r="I222" i="25" s="1"/>
  <c r="J222" i="25" s="1"/>
  <c r="G244" i="25"/>
  <c r="H244" i="25" s="1"/>
  <c r="I244" i="25" s="1"/>
  <c r="J244" i="25" s="1"/>
  <c r="G234" i="25"/>
  <c r="H234" i="25" s="1"/>
  <c r="I234" i="25" s="1"/>
  <c r="J234" i="25" s="1"/>
  <c r="G216" i="25"/>
  <c r="H216" i="25" s="1"/>
  <c r="I216" i="25" s="1"/>
  <c r="J216" i="25" s="1"/>
  <c r="G251" i="25"/>
  <c r="H251" i="25" s="1"/>
  <c r="I251" i="25" s="1"/>
  <c r="J251" i="25" s="1"/>
  <c r="G237" i="25"/>
  <c r="H237" i="25" s="1"/>
  <c r="I237" i="25" s="1"/>
  <c r="J237" i="25" s="1"/>
  <c r="G213" i="25"/>
  <c r="H213" i="25" s="1"/>
  <c r="I213" i="25" s="1"/>
  <c r="J213" i="25" s="1"/>
  <c r="G248" i="25"/>
  <c r="H248" i="25" s="1"/>
  <c r="I248" i="25" s="1"/>
  <c r="J248" i="25" s="1"/>
  <c r="G236" i="25"/>
  <c r="H236" i="25" s="1"/>
  <c r="G217" i="25"/>
  <c r="H217" i="25" s="1"/>
  <c r="I217" i="25" s="1"/>
  <c r="J217" i="25" s="1"/>
  <c r="F243" i="25"/>
  <c r="G243" i="25" s="1"/>
  <c r="H243" i="25" s="1"/>
  <c r="I243" i="25" s="1"/>
  <c r="F211" i="25"/>
  <c r="E211" i="25"/>
  <c r="G210" i="25"/>
  <c r="H210" i="25" s="1"/>
  <c r="I210" i="25" s="1"/>
  <c r="J210" i="25" s="1"/>
  <c r="G209" i="25"/>
  <c r="H209" i="25" s="1"/>
  <c r="I209" i="25" s="1"/>
  <c r="J209" i="25" s="1"/>
  <c r="G208" i="25"/>
  <c r="H208" i="25" s="1"/>
  <c r="I208" i="25" s="1"/>
  <c r="J208" i="25" s="1"/>
  <c r="G207" i="25"/>
  <c r="H207" i="25" s="1"/>
  <c r="I207" i="25" s="1"/>
  <c r="J207" i="25" s="1"/>
  <c r="G206" i="25"/>
  <c r="H206" i="25" s="1"/>
  <c r="I206" i="25" s="1"/>
  <c r="J206" i="25" s="1"/>
  <c r="G205" i="25"/>
  <c r="H205" i="25" s="1"/>
  <c r="I205" i="25" s="1"/>
  <c r="J205" i="25" s="1"/>
  <c r="F199" i="25"/>
  <c r="E199" i="25"/>
  <c r="G198" i="25"/>
  <c r="H198" i="25" s="1"/>
  <c r="I198" i="25" s="1"/>
  <c r="J198" i="25" s="1"/>
  <c r="G197" i="25"/>
  <c r="H197" i="25" s="1"/>
  <c r="I197" i="25" s="1"/>
  <c r="J197" i="25" s="1"/>
  <c r="G196" i="25"/>
  <c r="H196" i="25" s="1"/>
  <c r="I196" i="25" s="1"/>
  <c r="J196" i="25" s="1"/>
  <c r="G195" i="25"/>
  <c r="H195" i="25" s="1"/>
  <c r="I195" i="25" s="1"/>
  <c r="J195" i="25" s="1"/>
  <c r="G194" i="25"/>
  <c r="H194" i="25" s="1"/>
  <c r="I194" i="25" s="1"/>
  <c r="J194" i="25" s="1"/>
  <c r="G192" i="25"/>
  <c r="H192" i="25" s="1"/>
  <c r="I192" i="25" s="1"/>
  <c r="J192" i="25" s="1"/>
  <c r="G191" i="25"/>
  <c r="H191" i="25" s="1"/>
  <c r="I191" i="25" s="1"/>
  <c r="J191" i="25" s="1"/>
  <c r="G190" i="25"/>
  <c r="H190" i="25" s="1"/>
  <c r="I190" i="25" s="1"/>
  <c r="J190" i="25" s="1"/>
  <c r="G189" i="25"/>
  <c r="H189" i="25" s="1"/>
  <c r="I189" i="25" s="1"/>
  <c r="J189" i="25" s="1"/>
  <c r="G188" i="25"/>
  <c r="H188" i="25" s="1"/>
  <c r="I188" i="25" s="1"/>
  <c r="J188" i="25" s="1"/>
  <c r="G187" i="25"/>
  <c r="E185" i="25"/>
  <c r="E201" i="25" s="1"/>
  <c r="G184" i="25"/>
  <c r="H184" i="25" s="1"/>
  <c r="I184" i="25" s="1"/>
  <c r="J184" i="25" s="1"/>
  <c r="G183" i="25"/>
  <c r="H183" i="25" s="1"/>
  <c r="I183" i="25" s="1"/>
  <c r="J183" i="25" s="1"/>
  <c r="G182" i="25"/>
  <c r="H182" i="25" s="1"/>
  <c r="I182" i="25" s="1"/>
  <c r="J182" i="25" s="1"/>
  <c r="G181" i="25"/>
  <c r="H181" i="25" s="1"/>
  <c r="I181" i="25" s="1"/>
  <c r="J181" i="25" s="1"/>
  <c r="F180" i="25"/>
  <c r="G180" i="25" s="1"/>
  <c r="H180" i="25" s="1"/>
  <c r="I180" i="25" s="1"/>
  <c r="J180" i="25" s="1"/>
  <c r="G179" i="25"/>
  <c r="H179" i="25" s="1"/>
  <c r="I179" i="25" s="1"/>
  <c r="J179" i="25" s="1"/>
  <c r="G178" i="25"/>
  <c r="H178" i="25" s="1"/>
  <c r="I178" i="25" s="1"/>
  <c r="J178" i="25" s="1"/>
  <c r="F177" i="25"/>
  <c r="G177" i="25" s="1"/>
  <c r="H177" i="25" s="1"/>
  <c r="I177" i="25" s="1"/>
  <c r="J177" i="25" s="1"/>
  <c r="F176" i="25"/>
  <c r="G176" i="25" s="1"/>
  <c r="H176" i="25" s="1"/>
  <c r="I176" i="25" s="1"/>
  <c r="J176" i="25" s="1"/>
  <c r="G175" i="25"/>
  <c r="H175" i="25" s="1"/>
  <c r="I175" i="25" s="1"/>
  <c r="J175" i="25" s="1"/>
  <c r="F174" i="25"/>
  <c r="E168" i="25"/>
  <c r="G123" i="25"/>
  <c r="H123" i="25" s="1"/>
  <c r="I123" i="25" s="1"/>
  <c r="J123" i="25" s="1"/>
  <c r="G136" i="25"/>
  <c r="H136" i="25" s="1"/>
  <c r="I136" i="25" s="1"/>
  <c r="J136" i="25" s="1"/>
  <c r="G144" i="25"/>
  <c r="H144" i="25" s="1"/>
  <c r="I144" i="25" s="1"/>
  <c r="J144" i="25" s="1"/>
  <c r="G129" i="25"/>
  <c r="H129" i="25" s="1"/>
  <c r="I129" i="25" s="1"/>
  <c r="J129" i="25" s="1"/>
  <c r="G137" i="25"/>
  <c r="H137" i="25" s="1"/>
  <c r="I137" i="25" s="1"/>
  <c r="J137" i="25" s="1"/>
  <c r="G154" i="25"/>
  <c r="H154" i="25" s="1"/>
  <c r="I154" i="25" s="1"/>
  <c r="J154" i="25" s="1"/>
  <c r="I160" i="25"/>
  <c r="J160" i="25" s="1"/>
  <c r="G160" i="25"/>
  <c r="F127" i="25"/>
  <c r="G127" i="25" s="1"/>
  <c r="H127" i="25" s="1"/>
  <c r="I127" i="25" s="1"/>
  <c r="J127" i="25" s="1"/>
  <c r="G126" i="25"/>
  <c r="H126" i="25" s="1"/>
  <c r="I126" i="25" s="1"/>
  <c r="J126" i="25" s="1"/>
  <c r="F152" i="25"/>
  <c r="G152" i="25" s="1"/>
  <c r="H152" i="25" s="1"/>
  <c r="I152" i="25" s="1"/>
  <c r="J152" i="25" s="1"/>
  <c r="F153" i="25"/>
  <c r="G153" i="25" s="1"/>
  <c r="H153" i="25" s="1"/>
  <c r="I153" i="25" s="1"/>
  <c r="J153" i="25" s="1"/>
  <c r="G142" i="25"/>
  <c r="H142" i="25" s="1"/>
  <c r="I142" i="25" s="1"/>
  <c r="J142" i="25" s="1"/>
  <c r="F128" i="25"/>
  <c r="G128" i="25" s="1"/>
  <c r="H128" i="25" s="1"/>
  <c r="I128" i="25" s="1"/>
  <c r="J128" i="25" s="1"/>
  <c r="G145" i="25"/>
  <c r="H145" i="25" s="1"/>
  <c r="I145" i="25" s="1"/>
  <c r="J145" i="25" s="1"/>
  <c r="G148" i="25"/>
  <c r="H148" i="25" s="1"/>
  <c r="I148" i="25" s="1"/>
  <c r="J148" i="25" s="1"/>
  <c r="G146" i="25"/>
  <c r="H146" i="25" s="1"/>
  <c r="I146" i="25" s="1"/>
  <c r="J146" i="25" s="1"/>
  <c r="G147" i="25"/>
  <c r="H147" i="25" s="1"/>
  <c r="I147" i="25" s="1"/>
  <c r="J147" i="25" s="1"/>
  <c r="G133" i="25"/>
  <c r="H133" i="25" s="1"/>
  <c r="I133" i="25" s="1"/>
  <c r="J133" i="25" s="1"/>
  <c r="G158" i="25"/>
  <c r="H158" i="25" s="1"/>
  <c r="I158" i="25" s="1"/>
  <c r="J158" i="25" s="1"/>
  <c r="G150" i="25"/>
  <c r="H150" i="25" s="1"/>
  <c r="I150" i="25" s="1"/>
  <c r="J150" i="25" s="1"/>
  <c r="G134" i="25"/>
  <c r="H134" i="25" s="1"/>
  <c r="I134" i="25" s="1"/>
  <c r="J134" i="25" s="1"/>
  <c r="G135" i="25"/>
  <c r="H135" i="25" s="1"/>
  <c r="I135" i="25" s="1"/>
  <c r="J135" i="25" s="1"/>
  <c r="G122" i="25"/>
  <c r="H122" i="25" s="1"/>
  <c r="I122" i="25" s="1"/>
  <c r="J122" i="25" s="1"/>
  <c r="G130" i="25"/>
  <c r="H130" i="25" s="1"/>
  <c r="I130" i="25" s="1"/>
  <c r="J130" i="25" s="1"/>
  <c r="G121" i="25"/>
  <c r="H121" i="25" s="1"/>
  <c r="I121" i="25" s="1"/>
  <c r="J121" i="25" s="1"/>
  <c r="G120" i="25"/>
  <c r="H120" i="25" s="1"/>
  <c r="I120" i="25" s="1"/>
  <c r="J120" i="25" s="1"/>
  <c r="F166" i="25"/>
  <c r="G166" i="25" s="1"/>
  <c r="H166" i="25" s="1"/>
  <c r="I166" i="25" s="1"/>
  <c r="J166" i="25" s="1"/>
  <c r="G151" i="25"/>
  <c r="H151" i="25" s="1"/>
  <c r="I151" i="25" s="1"/>
  <c r="J151" i="25" s="1"/>
  <c r="G124" i="25"/>
  <c r="H124" i="25" s="1"/>
  <c r="I124" i="25" s="1"/>
  <c r="J124" i="25" s="1"/>
  <c r="G140" i="25"/>
  <c r="H140" i="25" s="1"/>
  <c r="I140" i="25" s="1"/>
  <c r="J140" i="25" s="1"/>
  <c r="F116" i="25"/>
  <c r="G116" i="25" s="1"/>
  <c r="H116" i="25" s="1"/>
  <c r="I116" i="25" s="1"/>
  <c r="J116" i="25" s="1"/>
  <c r="F164" i="25"/>
  <c r="G164" i="25" s="1"/>
  <c r="H164" i="25" s="1"/>
  <c r="I164" i="25" s="1"/>
  <c r="J164" i="25" s="1"/>
  <c r="F162" i="25"/>
  <c r="G162" i="25" s="1"/>
  <c r="H162" i="25" s="1"/>
  <c r="I162" i="25" s="1"/>
  <c r="J162" i="25" s="1"/>
  <c r="G132" i="25"/>
  <c r="H132" i="25" s="1"/>
  <c r="I132" i="25" s="1"/>
  <c r="J132" i="25" s="1"/>
  <c r="G141" i="25"/>
  <c r="H141" i="25" s="1"/>
  <c r="I141" i="25" s="1"/>
  <c r="J141" i="25" s="1"/>
  <c r="G117" i="25"/>
  <c r="H117" i="25" s="1"/>
  <c r="I117" i="25" s="1"/>
  <c r="J117" i="25" s="1"/>
  <c r="G131" i="25"/>
  <c r="H131" i="25" s="1"/>
  <c r="I131" i="25" s="1"/>
  <c r="J131" i="25" s="1"/>
  <c r="G115" i="25"/>
  <c r="H115" i="25" s="1"/>
  <c r="I115" i="25" s="1"/>
  <c r="J115" i="25" s="1"/>
  <c r="G125" i="25"/>
  <c r="H125" i="25" s="1"/>
  <c r="I125" i="25" s="1"/>
  <c r="J125" i="25" s="1"/>
  <c r="G138" i="25"/>
  <c r="H138" i="25" s="1"/>
  <c r="I138" i="25" s="1"/>
  <c r="J138" i="25" s="1"/>
  <c r="G143" i="25"/>
  <c r="H143" i="25" s="1"/>
  <c r="I143" i="25" s="1"/>
  <c r="J143" i="25" s="1"/>
  <c r="G157" i="25"/>
  <c r="H157" i="25" s="1"/>
  <c r="I157" i="25" s="1"/>
  <c r="J157" i="25" s="1"/>
  <c r="G139" i="25"/>
  <c r="H139" i="25" s="1"/>
  <c r="I139" i="25" s="1"/>
  <c r="J139" i="25" s="1"/>
  <c r="G161" i="25"/>
  <c r="H161" i="25" s="1"/>
  <c r="I161" i="25" s="1"/>
  <c r="J161" i="25" s="1"/>
  <c r="G149" i="25"/>
  <c r="H149" i="25" s="1"/>
  <c r="I149" i="25" s="1"/>
  <c r="J149" i="25" s="1"/>
  <c r="G118" i="25"/>
  <c r="H118" i="25" s="1"/>
  <c r="I118" i="25" s="1"/>
  <c r="J118" i="25" s="1"/>
  <c r="G167" i="25"/>
  <c r="H167" i="25" s="1"/>
  <c r="I167" i="25" s="1"/>
  <c r="J167" i="25" s="1"/>
  <c r="G156" i="25"/>
  <c r="H156" i="25" s="1"/>
  <c r="I156" i="25" s="1"/>
  <c r="J156" i="25" s="1"/>
  <c r="G114" i="25"/>
  <c r="H114" i="25" s="1"/>
  <c r="I114" i="25" s="1"/>
  <c r="J114" i="25" s="1"/>
  <c r="G165" i="25"/>
  <c r="H165" i="25" s="1"/>
  <c r="I165" i="25" s="1"/>
  <c r="J165" i="25" s="1"/>
  <c r="G155" i="25"/>
  <c r="H155" i="25" s="1"/>
  <c r="I155" i="25" s="1"/>
  <c r="J155" i="25" s="1"/>
  <c r="G119" i="25"/>
  <c r="H119" i="25" s="1"/>
  <c r="I119" i="25" s="1"/>
  <c r="J119" i="25" s="1"/>
  <c r="F159" i="25"/>
  <c r="G159" i="25" s="1"/>
  <c r="H159" i="25" s="1"/>
  <c r="I159" i="25" s="1"/>
  <c r="E112" i="25"/>
  <c r="G111" i="25"/>
  <c r="H111" i="25" s="1"/>
  <c r="I111" i="25" s="1"/>
  <c r="J111" i="25" s="1"/>
  <c r="F110" i="25"/>
  <c r="G110" i="25" s="1"/>
  <c r="H110" i="25" s="1"/>
  <c r="I110" i="25" s="1"/>
  <c r="J110" i="25" s="1"/>
  <c r="G109" i="25"/>
  <c r="H109" i="25" s="1"/>
  <c r="I109" i="25" s="1"/>
  <c r="J109" i="25" s="1"/>
  <c r="G108" i="25"/>
  <c r="H108" i="25" s="1"/>
  <c r="I108" i="25" s="1"/>
  <c r="J108" i="25" s="1"/>
  <c r="G107" i="25"/>
  <c r="H107" i="25" s="1"/>
  <c r="I107" i="25" s="1"/>
  <c r="J107" i="25" s="1"/>
  <c r="F106" i="25"/>
  <c r="G106" i="25" s="1"/>
  <c r="H106" i="25" s="1"/>
  <c r="I106" i="25" s="1"/>
  <c r="J106" i="25" s="1"/>
  <c r="G105" i="25"/>
  <c r="H105" i="25" s="1"/>
  <c r="I105" i="25" s="1"/>
  <c r="J105" i="25" s="1"/>
  <c r="F104" i="25"/>
  <c r="G104" i="25" s="1"/>
  <c r="H104" i="25" s="1"/>
  <c r="I104" i="25" s="1"/>
  <c r="J104" i="25" s="1"/>
  <c r="F103" i="25"/>
  <c r="G103" i="25" s="1"/>
  <c r="H103" i="25" s="1"/>
  <c r="I103" i="25" s="1"/>
  <c r="J103" i="25" s="1"/>
  <c r="G102" i="25"/>
  <c r="H102" i="25" s="1"/>
  <c r="I102" i="25" s="1"/>
  <c r="J102" i="25" s="1"/>
  <c r="G101" i="25"/>
  <c r="H101" i="25" s="1"/>
  <c r="I101" i="25" s="1"/>
  <c r="J101" i="25" s="1"/>
  <c r="G100" i="25"/>
  <c r="H100" i="25" s="1"/>
  <c r="I100" i="25" s="1"/>
  <c r="J100" i="25" s="1"/>
  <c r="I99" i="25"/>
  <c r="J99" i="25" s="1"/>
  <c r="G99" i="25"/>
  <c r="I98" i="25"/>
  <c r="J98" i="25" s="1"/>
  <c r="G98" i="25"/>
  <c r="G97" i="25"/>
  <c r="H97" i="25" s="1"/>
  <c r="I97" i="25" s="1"/>
  <c r="J97" i="25" s="1"/>
  <c r="G96" i="25"/>
  <c r="H96" i="25" s="1"/>
  <c r="I96" i="25" s="1"/>
  <c r="J96" i="25" s="1"/>
  <c r="G95" i="25"/>
  <c r="H95" i="25" s="1"/>
  <c r="I95" i="25" s="1"/>
  <c r="J95" i="25" s="1"/>
  <c r="G94" i="25"/>
  <c r="H94" i="25" s="1"/>
  <c r="I94" i="25" s="1"/>
  <c r="J94" i="25" s="1"/>
  <c r="G93" i="25"/>
  <c r="H93" i="25" s="1"/>
  <c r="I93" i="25" s="1"/>
  <c r="J93" i="25" s="1"/>
  <c r="F92" i="25"/>
  <c r="G92" i="25" s="1"/>
  <c r="H92" i="25" s="1"/>
  <c r="I92" i="25" s="1"/>
  <c r="J92" i="25" s="1"/>
  <c r="G91" i="25"/>
  <c r="H91" i="25" s="1"/>
  <c r="I91" i="25" s="1"/>
  <c r="J91" i="25" s="1"/>
  <c r="G90" i="25"/>
  <c r="H90" i="25" s="1"/>
  <c r="I90" i="25" s="1"/>
  <c r="J90" i="25" s="1"/>
  <c r="G89" i="25"/>
  <c r="H89" i="25" s="1"/>
  <c r="I89" i="25" s="1"/>
  <c r="J89" i="25" s="1"/>
  <c r="F88" i="25"/>
  <c r="G88" i="25" s="1"/>
  <c r="H88" i="25" s="1"/>
  <c r="I88" i="25" s="1"/>
  <c r="J88" i="25" s="1"/>
  <c r="F87" i="25"/>
  <c r="G87" i="25" s="1"/>
  <c r="H87" i="25" s="1"/>
  <c r="I87" i="25" s="1"/>
  <c r="J87" i="25" s="1"/>
  <c r="G86" i="25"/>
  <c r="H86" i="25" s="1"/>
  <c r="I86" i="25" s="1"/>
  <c r="J86" i="25" s="1"/>
  <c r="G85" i="25"/>
  <c r="H85" i="25" s="1"/>
  <c r="I85" i="25" s="1"/>
  <c r="J85" i="25" s="1"/>
  <c r="G84" i="25"/>
  <c r="H84" i="25" s="1"/>
  <c r="I84" i="25" s="1"/>
  <c r="J84" i="25" s="1"/>
  <c r="F83" i="25"/>
  <c r="G83" i="25" s="1"/>
  <c r="H83" i="25" s="1"/>
  <c r="I83" i="25" s="1"/>
  <c r="J83" i="25" s="1"/>
  <c r="G82" i="25"/>
  <c r="H82" i="25" s="1"/>
  <c r="I82" i="25" s="1"/>
  <c r="J82" i="25" s="1"/>
  <c r="F81" i="25"/>
  <c r="G81" i="25" s="1"/>
  <c r="H81" i="25" s="1"/>
  <c r="I81" i="25" s="1"/>
  <c r="J81" i="25" s="1"/>
  <c r="G80" i="25"/>
  <c r="H80" i="25" s="1"/>
  <c r="I80" i="25" s="1"/>
  <c r="J80" i="25" s="1"/>
  <c r="G79" i="25"/>
  <c r="H79" i="25" s="1"/>
  <c r="I79" i="25" s="1"/>
  <c r="J79" i="25" s="1"/>
  <c r="G78" i="25"/>
  <c r="H78" i="25" s="1"/>
  <c r="I78" i="25" s="1"/>
  <c r="J78" i="25" s="1"/>
  <c r="F77" i="25"/>
  <c r="G77" i="25" s="1"/>
  <c r="G70" i="25"/>
  <c r="H70" i="25" s="1"/>
  <c r="I70" i="25" s="1"/>
  <c r="J70" i="25" s="1"/>
  <c r="G69" i="25"/>
  <c r="H69" i="25" s="1"/>
  <c r="I69" i="25" s="1"/>
  <c r="J69" i="25" s="1"/>
  <c r="G68" i="25"/>
  <c r="H68" i="25" s="1"/>
  <c r="I68" i="25" s="1"/>
  <c r="J68" i="25" s="1"/>
  <c r="G67" i="25"/>
  <c r="H67" i="25" s="1"/>
  <c r="I67" i="25" s="1"/>
  <c r="J67" i="25" s="1"/>
  <c r="G66" i="25"/>
  <c r="H66" i="25" s="1"/>
  <c r="I66" i="25" s="1"/>
  <c r="J66" i="25" s="1"/>
  <c r="G65" i="25"/>
  <c r="H65" i="25" s="1"/>
  <c r="I65" i="25" s="1"/>
  <c r="J65" i="25" s="1"/>
  <c r="E65" i="25"/>
  <c r="E71" i="25" s="1"/>
  <c r="G64" i="25"/>
  <c r="H64" i="25" s="1"/>
  <c r="I64" i="25" s="1"/>
  <c r="J64" i="25" s="1"/>
  <c r="G63" i="25"/>
  <c r="H63" i="25" s="1"/>
  <c r="I63" i="25" s="1"/>
  <c r="J63" i="25" s="1"/>
  <c r="G62" i="25"/>
  <c r="H62" i="25" s="1"/>
  <c r="I62" i="25" s="1"/>
  <c r="J62" i="25" s="1"/>
  <c r="G61" i="25"/>
  <c r="H61" i="25" s="1"/>
  <c r="I61" i="25" s="1"/>
  <c r="J61" i="25" s="1"/>
  <c r="G60" i="25"/>
  <c r="H60" i="25" s="1"/>
  <c r="I60" i="25" s="1"/>
  <c r="J60" i="25" s="1"/>
  <c r="I59" i="25"/>
  <c r="J59" i="25" s="1"/>
  <c r="G59" i="25"/>
  <c r="G58" i="25"/>
  <c r="H58" i="25" s="1"/>
  <c r="I58" i="25" s="1"/>
  <c r="J58" i="25" s="1"/>
  <c r="F57" i="25"/>
  <c r="G57" i="25" s="1"/>
  <c r="H57" i="25" s="1"/>
  <c r="I57" i="25" s="1"/>
  <c r="J57" i="25" s="1"/>
  <c r="G56" i="25"/>
  <c r="H56" i="25" s="1"/>
  <c r="I56" i="25" s="1"/>
  <c r="J56" i="25" s="1"/>
  <c r="G55" i="25"/>
  <c r="H55" i="25" s="1"/>
  <c r="I55" i="25" s="1"/>
  <c r="J55" i="25" s="1"/>
  <c r="G54" i="25"/>
  <c r="H54" i="25" s="1"/>
  <c r="I54" i="25" s="1"/>
  <c r="J54" i="25" s="1"/>
  <c r="G53" i="25"/>
  <c r="H53" i="25" s="1"/>
  <c r="I53" i="25" s="1"/>
  <c r="J53" i="25" s="1"/>
  <c r="F52" i="25"/>
  <c r="G52" i="25" s="1"/>
  <c r="H52" i="25" s="1"/>
  <c r="I52" i="25" s="1"/>
  <c r="J52" i="25" s="1"/>
  <c r="G51" i="25"/>
  <c r="H51" i="25" s="1"/>
  <c r="I51" i="25" s="1"/>
  <c r="J51" i="25" s="1"/>
  <c r="G50" i="25"/>
  <c r="H50" i="25" s="1"/>
  <c r="I50" i="25" s="1"/>
  <c r="J50" i="25" s="1"/>
  <c r="G49" i="25"/>
  <c r="H49" i="25" s="1"/>
  <c r="I49" i="25" s="1"/>
  <c r="J49" i="25" s="1"/>
  <c r="F48" i="25"/>
  <c r="G48" i="25" s="1"/>
  <c r="H48" i="25" s="1"/>
  <c r="I48" i="25" s="1"/>
  <c r="J48" i="25" s="1"/>
  <c r="G47" i="25"/>
  <c r="H47" i="25" s="1"/>
  <c r="I47" i="25" s="1"/>
  <c r="J47" i="25" s="1"/>
  <c r="F46" i="25"/>
  <c r="G46" i="25" s="1"/>
  <c r="H46" i="25" s="1"/>
  <c r="I46" i="25" s="1"/>
  <c r="J46" i="25" s="1"/>
  <c r="G45" i="25"/>
  <c r="H45" i="25" s="1"/>
  <c r="I45" i="25" s="1"/>
  <c r="J45" i="25" s="1"/>
  <c r="G44" i="25"/>
  <c r="H44" i="25" s="1"/>
  <c r="I44" i="25" s="1"/>
  <c r="J44" i="25" s="1"/>
  <c r="G43" i="25"/>
  <c r="H43" i="25" s="1"/>
  <c r="I43" i="25" s="1"/>
  <c r="J43" i="25" s="1"/>
  <c r="G42" i="25"/>
  <c r="H42" i="25" s="1"/>
  <c r="I42" i="25" s="1"/>
  <c r="J42" i="25" s="1"/>
  <c r="G41" i="25"/>
  <c r="H41" i="25" s="1"/>
  <c r="I41" i="25" s="1"/>
  <c r="J41" i="25" s="1"/>
  <c r="G40" i="25"/>
  <c r="H40" i="25" s="1"/>
  <c r="I40" i="25" s="1"/>
  <c r="J40" i="25" s="1"/>
  <c r="G39" i="25"/>
  <c r="H39" i="25" s="1"/>
  <c r="I39" i="25" s="1"/>
  <c r="J39" i="25" s="1"/>
  <c r="G38" i="25"/>
  <c r="H38" i="25" s="1"/>
  <c r="I38" i="25" s="1"/>
  <c r="J38" i="25" s="1"/>
  <c r="G37" i="25"/>
  <c r="H37" i="25" s="1"/>
  <c r="I37" i="25" s="1"/>
  <c r="J37" i="25" s="1"/>
  <c r="G36" i="25"/>
  <c r="H36" i="25" s="1"/>
  <c r="I36" i="25" s="1"/>
  <c r="J36" i="25" s="1"/>
  <c r="G35" i="25"/>
  <c r="H35" i="25" s="1"/>
  <c r="I35" i="25" s="1"/>
  <c r="J35" i="25" s="1"/>
  <c r="G34" i="25"/>
  <c r="H34" i="25" s="1"/>
  <c r="I34" i="25" s="1"/>
  <c r="J34" i="25" s="1"/>
  <c r="G33" i="25"/>
  <c r="H33" i="25" s="1"/>
  <c r="I33" i="25" s="1"/>
  <c r="J33" i="25" s="1"/>
  <c r="G32" i="25"/>
  <c r="H32" i="25" s="1"/>
  <c r="I32" i="25" s="1"/>
  <c r="J32" i="25" s="1"/>
  <c r="G31" i="25"/>
  <c r="H31" i="25" s="1"/>
  <c r="I31" i="25" s="1"/>
  <c r="J31" i="25" s="1"/>
  <c r="G30" i="25"/>
  <c r="H30" i="25" s="1"/>
  <c r="I30" i="25" s="1"/>
  <c r="J30" i="25" s="1"/>
  <c r="G29" i="25"/>
  <c r="H29" i="25" s="1"/>
  <c r="I29" i="25" s="1"/>
  <c r="J29" i="25" s="1"/>
  <c r="G28" i="25"/>
  <c r="H28" i="25" s="1"/>
  <c r="I28" i="25" s="1"/>
  <c r="J28" i="25" s="1"/>
  <c r="G27" i="25"/>
  <c r="H27" i="25" s="1"/>
  <c r="I27" i="25" s="1"/>
  <c r="J27" i="25" s="1"/>
  <c r="G26" i="25"/>
  <c r="H26" i="25" s="1"/>
  <c r="I26" i="25" s="1"/>
  <c r="J26" i="25" s="1"/>
  <c r="G25" i="25"/>
  <c r="H25" i="25" s="1"/>
  <c r="I25" i="25" s="1"/>
  <c r="J25" i="25" s="1"/>
  <c r="G24" i="25"/>
  <c r="H24" i="25" s="1"/>
  <c r="I24" i="25" s="1"/>
  <c r="J24" i="25" s="1"/>
  <c r="F23" i="25"/>
  <c r="G23" i="25" s="1"/>
  <c r="H23" i="25" s="1"/>
  <c r="I23" i="25" s="1"/>
  <c r="F21" i="25"/>
  <c r="E21" i="25"/>
  <c r="G20" i="25"/>
  <c r="H20" i="25" s="1"/>
  <c r="I20" i="25" s="1"/>
  <c r="J20" i="25" s="1"/>
  <c r="G19" i="25"/>
  <c r="H19" i="25" s="1"/>
  <c r="I19" i="25" s="1"/>
  <c r="J19" i="25" s="1"/>
  <c r="G18" i="25"/>
  <c r="H18" i="25" s="1"/>
  <c r="I18" i="25" s="1"/>
  <c r="J18" i="25" s="1"/>
  <c r="G17" i="25"/>
  <c r="H17" i="25" s="1"/>
  <c r="I17" i="25" s="1"/>
  <c r="J17" i="25" s="1"/>
  <c r="G16" i="25"/>
  <c r="H16" i="25" s="1"/>
  <c r="I16" i="25" s="1"/>
  <c r="J16" i="25" s="1"/>
  <c r="G15" i="25"/>
  <c r="H15" i="25" s="1"/>
  <c r="I15" i="25" s="1"/>
  <c r="J15" i="25" s="1"/>
  <c r="G14" i="25"/>
  <c r="H14" i="25" s="1"/>
  <c r="I14" i="25" s="1"/>
  <c r="J14" i="25" s="1"/>
  <c r="G13" i="25"/>
  <c r="H13" i="25" s="1"/>
  <c r="I13" i="25" s="1"/>
  <c r="J13" i="25" s="1"/>
  <c r="G12" i="25"/>
  <c r="H12" i="25" s="1"/>
  <c r="I12" i="25" s="1"/>
  <c r="J12" i="25" s="1"/>
  <c r="G11" i="25"/>
  <c r="H11" i="25" s="1"/>
  <c r="I11" i="25" s="1"/>
  <c r="J11" i="25" s="1"/>
  <c r="G10" i="25"/>
  <c r="H10" i="25" s="1"/>
  <c r="I10" i="25" s="1"/>
  <c r="J10" i="25" s="1"/>
  <c r="G9" i="25"/>
  <c r="H9" i="25" s="1"/>
  <c r="I9" i="25" s="1"/>
  <c r="J9" i="25" s="1"/>
  <c r="G8" i="25"/>
  <c r="H8" i="25" s="1"/>
  <c r="I8" i="25" s="1"/>
  <c r="J8" i="25" s="1"/>
  <c r="G7" i="25"/>
  <c r="H7" i="25" s="1"/>
  <c r="I7" i="25" s="1"/>
  <c r="J7" i="25" s="1"/>
  <c r="G6" i="25"/>
  <c r="H6" i="25" s="1"/>
  <c r="I6" i="25" s="1"/>
  <c r="J6" i="25" s="1"/>
  <c r="I5" i="25"/>
  <c r="J5" i="25" s="1"/>
  <c r="G5" i="25"/>
  <c r="E126" i="26"/>
  <c r="E163" i="26"/>
  <c r="E149" i="26"/>
  <c r="E139" i="26"/>
  <c r="E73" i="26"/>
  <c r="B121" i="22"/>
  <c r="E79" i="26"/>
  <c r="B121" i="21"/>
  <c r="E96" i="26"/>
  <c r="B121" i="20"/>
  <c r="D20" i="26"/>
  <c r="E17" i="26"/>
  <c r="D23" i="26"/>
  <c r="D22" i="26"/>
  <c r="B14" i="7"/>
  <c r="C13" i="7"/>
  <c r="B13" i="7"/>
  <c r="D13" i="7"/>
  <c r="E99" i="17"/>
  <c r="D99" i="17"/>
  <c r="C99" i="17"/>
  <c r="E8" i="26"/>
  <c r="C12" i="7"/>
  <c r="B12" i="7"/>
  <c r="D11" i="7"/>
  <c r="C11" i="7"/>
  <c r="B11" i="7"/>
  <c r="E35" i="26"/>
  <c r="E56" i="26"/>
  <c r="B10" i="7"/>
  <c r="C10" i="7"/>
  <c r="B121" i="13"/>
  <c r="C121" i="13"/>
  <c r="E46" i="26"/>
  <c r="E45" i="26"/>
  <c r="C8" i="7"/>
  <c r="B8" i="7"/>
  <c r="B7" i="7"/>
  <c r="C7" i="7"/>
  <c r="E7" i="26"/>
  <c r="E39" i="26"/>
  <c r="D70" i="26"/>
  <c r="E68" i="26"/>
  <c r="E64" i="26"/>
  <c r="B6" i="7"/>
  <c r="E63" i="26"/>
  <c r="E55" i="26"/>
  <c r="E74" i="26"/>
  <c r="E29" i="26"/>
  <c r="E60" i="26"/>
  <c r="E49" i="26"/>
  <c r="E59" i="26"/>
  <c r="E53" i="26"/>
  <c r="E40" i="26"/>
  <c r="E6" i="26"/>
  <c r="C4" i="7"/>
  <c r="B4" i="7"/>
  <c r="E77" i="26"/>
  <c r="E13" i="26"/>
  <c r="E52" i="26"/>
  <c r="E85" i="26"/>
  <c r="C9" i="7" l="1"/>
  <c r="F13" i="31"/>
  <c r="E8" i="7"/>
  <c r="C12" i="31"/>
  <c r="D12" i="31" s="1"/>
  <c r="F17" i="7"/>
  <c r="G21" i="31"/>
  <c r="B9" i="7"/>
  <c r="B13" i="31"/>
  <c r="B16" i="7"/>
  <c r="B20" i="31"/>
  <c r="E9" i="7"/>
  <c r="C13" i="31"/>
  <c r="E14" i="7"/>
  <c r="C18" i="31"/>
  <c r="D18" i="31" s="1"/>
  <c r="G17" i="7"/>
  <c r="K21" i="31"/>
  <c r="E5" i="7"/>
  <c r="D5" i="31"/>
  <c r="E15" i="7"/>
  <c r="C19" i="31"/>
  <c r="E10" i="7"/>
  <c r="C14" i="31"/>
  <c r="D14" i="31" s="1"/>
  <c r="E17" i="7"/>
  <c r="C21" i="31"/>
  <c r="B15" i="7"/>
  <c r="B19" i="31"/>
  <c r="B17" i="7"/>
  <c r="B21" i="31"/>
  <c r="E13" i="7"/>
  <c r="C17" i="31"/>
  <c r="D17" i="31" s="1"/>
  <c r="E16" i="7"/>
  <c r="C20" i="31"/>
  <c r="E12" i="7"/>
  <c r="F701" i="25"/>
  <c r="F740" i="25" s="1"/>
  <c r="E323" i="25"/>
  <c r="G258" i="25"/>
  <c r="G266" i="25" s="1"/>
  <c r="F386" i="25"/>
  <c r="F350" i="25"/>
  <c r="F352" i="25" s="1"/>
  <c r="E386" i="25"/>
  <c r="E638" i="25"/>
  <c r="G693" i="25"/>
  <c r="H693" i="25" s="1"/>
  <c r="I693" i="25" s="1"/>
  <c r="E430" i="25"/>
  <c r="J536" i="25"/>
  <c r="F582" i="25"/>
  <c r="F185" i="25"/>
  <c r="F201" i="25" s="1"/>
  <c r="G273" i="25"/>
  <c r="G293" i="25" s="1"/>
  <c r="F687" i="25"/>
  <c r="H332" i="25"/>
  <c r="I330" i="25"/>
  <c r="J330" i="25" s="1"/>
  <c r="J332" i="25" s="1"/>
  <c r="G199" i="25"/>
  <c r="G360" i="25"/>
  <c r="F442" i="25"/>
  <c r="F482" i="25" s="1"/>
  <c r="F112" i="25"/>
  <c r="F168" i="25"/>
  <c r="G174" i="25"/>
  <c r="G423" i="25"/>
  <c r="H423" i="25" s="1"/>
  <c r="H428" i="25" s="1"/>
  <c r="F295" i="25"/>
  <c r="G299" i="25"/>
  <c r="G332" i="25"/>
  <c r="F430" i="25"/>
  <c r="H442" i="25"/>
  <c r="E521" i="25"/>
  <c r="G543" i="25"/>
  <c r="H543" i="25" s="1"/>
  <c r="I543" i="25" s="1"/>
  <c r="J543" i="25" s="1"/>
  <c r="J582" i="25" s="1"/>
  <c r="E584" i="25"/>
  <c r="G680" i="25"/>
  <c r="H680" i="25" s="1"/>
  <c r="H687" i="25" s="1"/>
  <c r="D121" i="13"/>
  <c r="C290" i="18"/>
  <c r="G17" i="31" s="1"/>
  <c r="H17" i="31" s="1"/>
  <c r="E86" i="26"/>
  <c r="D68" i="26"/>
  <c r="E67" i="26"/>
  <c r="D214" i="26"/>
  <c r="E196" i="26"/>
  <c r="E195" i="26"/>
  <c r="E240" i="26"/>
  <c r="E89" i="26"/>
  <c r="E152" i="26"/>
  <c r="E20" i="26"/>
  <c r="D197" i="26"/>
  <c r="E170" i="26"/>
  <c r="E116" i="26"/>
  <c r="D143" i="26"/>
  <c r="E11" i="26"/>
  <c r="D80" i="26"/>
  <c r="E185" i="26"/>
  <c r="D237" i="26"/>
  <c r="E198" i="26"/>
  <c r="E25" i="26"/>
  <c r="D38" i="26"/>
  <c r="E173" i="26"/>
  <c r="E227" i="26"/>
  <c r="C264" i="17"/>
  <c r="B292" i="16"/>
  <c r="E244" i="26"/>
  <c r="E144" i="26"/>
  <c r="C290" i="9"/>
  <c r="D39" i="26"/>
  <c r="E72" i="26"/>
  <c r="E26" i="26"/>
  <c r="E31" i="26"/>
  <c r="E62" i="26"/>
  <c r="E15" i="26"/>
  <c r="E206" i="26"/>
  <c r="E23" i="26"/>
  <c r="B291" i="13"/>
  <c r="B292" i="19"/>
  <c r="E41" i="26"/>
  <c r="D47" i="26"/>
  <c r="E84" i="26"/>
  <c r="E80" i="26"/>
  <c r="D73" i="26"/>
  <c r="E112" i="26"/>
  <c r="E128" i="26"/>
  <c r="E137" i="26"/>
  <c r="E189" i="26"/>
  <c r="E214" i="26"/>
  <c r="D246" i="26"/>
  <c r="E258" i="26"/>
  <c r="E14" i="26"/>
  <c r="E237" i="26"/>
  <c r="D19" i="26"/>
  <c r="E178" i="26"/>
  <c r="D213" i="26"/>
  <c r="E222" i="26"/>
  <c r="E242" i="26"/>
  <c r="D12" i="7"/>
  <c r="E22" i="26"/>
  <c r="C121" i="21"/>
  <c r="C121" i="22"/>
  <c r="F21" i="31" s="1"/>
  <c r="G102" i="26"/>
  <c r="C289" i="13"/>
  <c r="G13" i="31" s="1"/>
  <c r="H13" i="31" s="1"/>
  <c r="E61" i="26"/>
  <c r="D76" i="26"/>
  <c r="E27" i="26"/>
  <c r="D87" i="26"/>
  <c r="D11" i="26"/>
  <c r="E107" i="26"/>
  <c r="E166" i="26"/>
  <c r="E207" i="26"/>
  <c r="E132" i="26"/>
  <c r="C290" i="16"/>
  <c r="G16" i="31" s="1"/>
  <c r="H16" i="31" s="1"/>
  <c r="D159" i="26"/>
  <c r="E183" i="26"/>
  <c r="D226" i="26"/>
  <c r="D65" i="26"/>
  <c r="E97" i="26"/>
  <c r="D93" i="26"/>
  <c r="D121" i="22"/>
  <c r="J21" i="31" s="1"/>
  <c r="D32" i="26"/>
  <c r="E145" i="26"/>
  <c r="E138" i="26"/>
  <c r="E249" i="26"/>
  <c r="E193" i="26"/>
  <c r="E135" i="26"/>
  <c r="E115" i="26"/>
  <c r="D290" i="9"/>
  <c r="E186" i="26"/>
  <c r="E210" i="26"/>
  <c r="E219" i="26"/>
  <c r="D290" i="20"/>
  <c r="C290" i="20"/>
  <c r="E259" i="26"/>
  <c r="D158" i="26"/>
  <c r="E234" i="26"/>
  <c r="C290" i="14"/>
  <c r="G14" i="31" s="1"/>
  <c r="H14" i="31" s="1"/>
  <c r="E16" i="26"/>
  <c r="D50" i="26"/>
  <c r="E124" i="26"/>
  <c r="E202" i="26"/>
  <c r="D202" i="26"/>
  <c r="E33" i="26"/>
  <c r="E10" i="26"/>
  <c r="E54" i="26"/>
  <c r="E44" i="26"/>
  <c r="E36" i="26"/>
  <c r="E9" i="26"/>
  <c r="D9" i="26"/>
  <c r="D37" i="26"/>
  <c r="E117" i="26"/>
  <c r="E248" i="26"/>
  <c r="E247" i="26"/>
  <c r="E167" i="26"/>
  <c r="E160" i="26"/>
  <c r="D161" i="26"/>
  <c r="C290" i="12"/>
  <c r="G12" i="31" s="1"/>
  <c r="H12" i="31" s="1"/>
  <c r="E216" i="26"/>
  <c r="E122" i="26"/>
  <c r="D290" i="14"/>
  <c r="E151" i="26"/>
  <c r="C290" i="19"/>
  <c r="C262" i="26"/>
  <c r="E165" i="26"/>
  <c r="B292" i="12"/>
  <c r="E24" i="26"/>
  <c r="E169" i="26"/>
  <c r="E218" i="26"/>
  <c r="D253" i="26"/>
  <c r="G108" i="26"/>
  <c r="G6" i="7"/>
  <c r="E12" i="26"/>
  <c r="E102" i="26"/>
  <c r="E199" i="26"/>
  <c r="B290" i="8"/>
  <c r="C7" i="31" s="1"/>
  <c r="D7" i="31" s="1"/>
  <c r="B292" i="10"/>
  <c r="E290" i="10"/>
  <c r="B292" i="14"/>
  <c r="B292" i="21"/>
  <c r="E28" i="26"/>
  <c r="D59" i="26"/>
  <c r="E58" i="26"/>
  <c r="D30" i="26"/>
  <c r="E43" i="26"/>
  <c r="E48" i="26"/>
  <c r="E94" i="26"/>
  <c r="F102" i="26"/>
  <c r="E106" i="26"/>
  <c r="E111" i="26"/>
  <c r="D114" i="26"/>
  <c r="E119" i="26"/>
  <c r="D122" i="26"/>
  <c r="E123" i="26"/>
  <c r="E136" i="26"/>
  <c r="E164" i="26"/>
  <c r="E172" i="26"/>
  <c r="E176" i="26"/>
  <c r="E188" i="26"/>
  <c r="E205" i="26"/>
  <c r="D212" i="26"/>
  <c r="E213" i="26"/>
  <c r="E221" i="26"/>
  <c r="E225" i="26"/>
  <c r="E241" i="26"/>
  <c r="E246" i="26"/>
  <c r="E257" i="26"/>
  <c r="F108" i="26"/>
  <c r="G105" i="26"/>
  <c r="G13" i="26"/>
  <c r="G52" i="26"/>
  <c r="B292" i="11"/>
  <c r="B292" i="18"/>
  <c r="E108" i="26"/>
  <c r="E174" i="26"/>
  <c r="E215" i="26"/>
  <c r="C14" i="7"/>
  <c r="C290" i="8"/>
  <c r="G7" i="31" s="1"/>
  <c r="H7" i="31" s="1"/>
  <c r="B292" i="15"/>
  <c r="B292" i="20"/>
  <c r="E83" i="26"/>
  <c r="E5" i="26"/>
  <c r="D14" i="26"/>
  <c r="E51" i="26"/>
  <c r="D81" i="26"/>
  <c r="E75" i="26"/>
  <c r="E66" i="26"/>
  <c r="D96" i="26"/>
  <c r="D112" i="26"/>
  <c r="E130" i="26"/>
  <c r="E142" i="26"/>
  <c r="E150" i="26"/>
  <c r="E155" i="26"/>
  <c r="E171" i="26"/>
  <c r="E175" i="26"/>
  <c r="E209" i="26"/>
  <c r="E212" i="26"/>
  <c r="E220" i="26"/>
  <c r="E232" i="26"/>
  <c r="D231" i="26"/>
  <c r="E236" i="26"/>
  <c r="D240" i="26"/>
  <c r="E245" i="26"/>
  <c r="F290" i="14"/>
  <c r="S14" i="31" s="1"/>
  <c r="T14" i="31" s="1"/>
  <c r="C99" i="26"/>
  <c r="G12" i="26"/>
  <c r="F12" i="26"/>
  <c r="C292" i="15"/>
  <c r="E88" i="26"/>
  <c r="B292" i="22"/>
  <c r="E740" i="25"/>
  <c r="E290" i="21"/>
  <c r="O20" i="31" s="1"/>
  <c r="F290" i="21"/>
  <c r="C290" i="21"/>
  <c r="E689" i="25"/>
  <c r="D290" i="18"/>
  <c r="K17" i="31" s="1"/>
  <c r="L17" i="31" s="1"/>
  <c r="E290" i="18"/>
  <c r="O17" i="31" s="1"/>
  <c r="F262" i="17"/>
  <c r="E290" i="24" s="1"/>
  <c r="E294" i="24" s="1"/>
  <c r="D262" i="17"/>
  <c r="C290" i="24" s="1"/>
  <c r="E262" i="17"/>
  <c r="D290" i="24" s="1"/>
  <c r="G262" i="17"/>
  <c r="F290" i="24" s="1"/>
  <c r="F294" i="24" s="1"/>
  <c r="E290" i="15"/>
  <c r="E290" i="14"/>
  <c r="D289" i="13"/>
  <c r="J288" i="25"/>
  <c r="H293" i="25"/>
  <c r="I268" i="25"/>
  <c r="J268" i="25" s="1"/>
  <c r="E295" i="25"/>
  <c r="E254" i="25"/>
  <c r="E30" i="26"/>
  <c r="G168" i="25"/>
  <c r="E170" i="25"/>
  <c r="I168" i="25"/>
  <c r="J159" i="25"/>
  <c r="J168" i="25" s="1"/>
  <c r="I392" i="25"/>
  <c r="J392" i="25" s="1"/>
  <c r="H396" i="25"/>
  <c r="I21" i="25"/>
  <c r="H536" i="25"/>
  <c r="I71" i="25"/>
  <c r="I236" i="25"/>
  <c r="J236" i="25" s="1"/>
  <c r="H252" i="25"/>
  <c r="G112" i="25"/>
  <c r="H77" i="25"/>
  <c r="I252" i="25"/>
  <c r="J243" i="25"/>
  <c r="G384" i="25"/>
  <c r="H362" i="25"/>
  <c r="G490" i="25"/>
  <c r="H486" i="25"/>
  <c r="I512" i="25"/>
  <c r="H519" i="25"/>
  <c r="H360" i="25"/>
  <c r="I356" i="25"/>
  <c r="I467" i="25"/>
  <c r="H480" i="25"/>
  <c r="F649" i="25"/>
  <c r="G642" i="25"/>
  <c r="F321" i="25"/>
  <c r="F323" i="25" s="1"/>
  <c r="G318" i="25"/>
  <c r="J390" i="25"/>
  <c r="F599" i="25"/>
  <c r="G588" i="25"/>
  <c r="H21" i="25"/>
  <c r="H71" i="25"/>
  <c r="H266" i="25"/>
  <c r="I738" i="25"/>
  <c r="J21" i="25"/>
  <c r="G21" i="25"/>
  <c r="G71" i="25"/>
  <c r="F71" i="25"/>
  <c r="F73" i="25" s="1"/>
  <c r="H168" i="25"/>
  <c r="G252" i="25"/>
  <c r="G396" i="25"/>
  <c r="G519" i="25"/>
  <c r="H738" i="25"/>
  <c r="G211" i="25"/>
  <c r="F252" i="25"/>
  <c r="F254" i="25" s="1"/>
  <c r="G480" i="25"/>
  <c r="I536" i="25"/>
  <c r="E73" i="25"/>
  <c r="J23" i="25"/>
  <c r="J71" i="25" s="1"/>
  <c r="H187" i="25"/>
  <c r="I259" i="25"/>
  <c r="H349" i="25"/>
  <c r="G335" i="25"/>
  <c r="G350" i="25" s="1"/>
  <c r="I434" i="25"/>
  <c r="G442" i="25"/>
  <c r="G536" i="25"/>
  <c r="J731" i="25"/>
  <c r="J738" i="25" s="1"/>
  <c r="F636" i="25"/>
  <c r="G628" i="25"/>
  <c r="E482" i="25"/>
  <c r="F519" i="25"/>
  <c r="F521" i="25" s="1"/>
  <c r="F536" i="25"/>
  <c r="B292" i="9"/>
  <c r="E81" i="26"/>
  <c r="C5" i="7"/>
  <c r="E38" i="26"/>
  <c r="E76" i="26"/>
  <c r="D4" i="7"/>
  <c r="B121" i="24"/>
  <c r="F121" i="22"/>
  <c r="R21" i="31" s="1"/>
  <c r="E121" i="22"/>
  <c r="D121" i="21"/>
  <c r="C121" i="20"/>
  <c r="E121" i="18"/>
  <c r="G99" i="17"/>
  <c r="F99" i="17"/>
  <c r="E121" i="15"/>
  <c r="D10" i="7"/>
  <c r="E121" i="13"/>
  <c r="P13" i="31" s="1"/>
  <c r="E121" i="12"/>
  <c r="H515" i="6"/>
  <c r="H503" i="6"/>
  <c r="N502" i="6"/>
  <c r="I575" i="6"/>
  <c r="J575" i="6" s="1"/>
  <c r="L695" i="6"/>
  <c r="N619" i="6"/>
  <c r="B21" i="7" l="1"/>
  <c r="B292" i="24"/>
  <c r="D21" i="31"/>
  <c r="H21" i="31"/>
  <c r="D20" i="31"/>
  <c r="F15" i="7"/>
  <c r="G19" i="31"/>
  <c r="D13" i="31"/>
  <c r="B24" i="31"/>
  <c r="K11" i="7"/>
  <c r="C15" i="7"/>
  <c r="F19" i="31"/>
  <c r="L13" i="7"/>
  <c r="S20" i="31"/>
  <c r="G10" i="7"/>
  <c r="K14" i="31"/>
  <c r="L14" i="31" s="1"/>
  <c r="G15" i="7"/>
  <c r="K19" i="31"/>
  <c r="L21" i="31"/>
  <c r="C16" i="7"/>
  <c r="F20" i="31"/>
  <c r="K13" i="7"/>
  <c r="L11" i="7"/>
  <c r="F16" i="7"/>
  <c r="G20" i="31"/>
  <c r="K8" i="7"/>
  <c r="D16" i="7"/>
  <c r="J20" i="31"/>
  <c r="G9" i="7"/>
  <c r="K13" i="31"/>
  <c r="D9" i="7"/>
  <c r="J13" i="31"/>
  <c r="D19" i="31"/>
  <c r="K17" i="7"/>
  <c r="L10" i="7"/>
  <c r="F14" i="7"/>
  <c r="G18" i="31"/>
  <c r="H18" i="31" s="1"/>
  <c r="C24" i="31"/>
  <c r="D16" i="31"/>
  <c r="G5" i="7"/>
  <c r="K5" i="31"/>
  <c r="F5" i="7"/>
  <c r="G5" i="31"/>
  <c r="L16" i="7"/>
  <c r="L6" i="7"/>
  <c r="D264" i="17"/>
  <c r="E264" i="17"/>
  <c r="D292" i="18"/>
  <c r="G13" i="7"/>
  <c r="C292" i="8"/>
  <c r="F4" i="7"/>
  <c r="C292" i="12"/>
  <c r="F8" i="7"/>
  <c r="C292" i="10"/>
  <c r="C6" i="7"/>
  <c r="C292" i="16"/>
  <c r="F12" i="7"/>
  <c r="C291" i="13"/>
  <c r="F9" i="7"/>
  <c r="C292" i="11"/>
  <c r="F7" i="7"/>
  <c r="C292" i="22"/>
  <c r="C17" i="7"/>
  <c r="C292" i="18"/>
  <c r="F13" i="7"/>
  <c r="D292" i="22"/>
  <c r="D17" i="7"/>
  <c r="E291" i="13"/>
  <c r="K9" i="7"/>
  <c r="M9" i="7" s="1"/>
  <c r="D292" i="15"/>
  <c r="G11" i="7"/>
  <c r="B292" i="8"/>
  <c r="E4" i="7"/>
  <c r="C292" i="14"/>
  <c r="F10" i="7"/>
  <c r="I680" i="25"/>
  <c r="J680" i="25" s="1"/>
  <c r="J687" i="25" s="1"/>
  <c r="G582" i="25"/>
  <c r="G584" i="25" s="1"/>
  <c r="H701" i="25"/>
  <c r="H740" i="25" s="1"/>
  <c r="H482" i="25"/>
  <c r="H430" i="25"/>
  <c r="I582" i="25"/>
  <c r="I584" i="25" s="1"/>
  <c r="G352" i="25"/>
  <c r="G482" i="25"/>
  <c r="G687" i="25"/>
  <c r="I423" i="25"/>
  <c r="J423" i="25" s="1"/>
  <c r="J428" i="25" s="1"/>
  <c r="G295" i="25"/>
  <c r="I332" i="25"/>
  <c r="G701" i="25"/>
  <c r="G740" i="25" s="1"/>
  <c r="J584" i="25"/>
  <c r="G386" i="25"/>
  <c r="I293" i="25"/>
  <c r="H582" i="25"/>
  <c r="H584" i="25" s="1"/>
  <c r="G170" i="25"/>
  <c r="F584" i="25"/>
  <c r="G428" i="25"/>
  <c r="G430" i="25" s="1"/>
  <c r="F689" i="25"/>
  <c r="H295" i="25"/>
  <c r="J293" i="25"/>
  <c r="F170" i="25"/>
  <c r="G303" i="25"/>
  <c r="H299" i="25"/>
  <c r="G185" i="25"/>
  <c r="G201" i="25" s="1"/>
  <c r="H174" i="25"/>
  <c r="D291" i="13"/>
  <c r="D8" i="7"/>
  <c r="E47" i="26"/>
  <c r="E143" i="26"/>
  <c r="C292" i="21"/>
  <c r="E158" i="26"/>
  <c r="E223" i="26"/>
  <c r="D14" i="7"/>
  <c r="G7" i="7"/>
  <c r="E70" i="26"/>
  <c r="E21" i="7"/>
  <c r="E292" i="18"/>
  <c r="D99" i="26"/>
  <c r="E197" i="26"/>
  <c r="F292" i="15"/>
  <c r="D290" i="16"/>
  <c r="K16" i="31" s="1"/>
  <c r="L16" i="31" s="1"/>
  <c r="D262" i="26"/>
  <c r="C292" i="19"/>
  <c r="E231" i="26"/>
  <c r="E19" i="26"/>
  <c r="E184" i="26"/>
  <c r="D290" i="21"/>
  <c r="K20" i="31" s="1"/>
  <c r="F26" i="26"/>
  <c r="D290" i="12"/>
  <c r="E161" i="26"/>
  <c r="E253" i="26"/>
  <c r="E180" i="26"/>
  <c r="E37" i="26"/>
  <c r="E290" i="16"/>
  <c r="E290" i="19"/>
  <c r="O18" i="31" s="1"/>
  <c r="C292" i="20"/>
  <c r="D292" i="14"/>
  <c r="D290" i="19"/>
  <c r="C264" i="26"/>
  <c r="E121" i="8"/>
  <c r="E93" i="26"/>
  <c r="E87" i="26"/>
  <c r="F106" i="26"/>
  <c r="F16" i="26"/>
  <c r="E50" i="26"/>
  <c r="F107" i="26"/>
  <c r="F121" i="20"/>
  <c r="R19" i="31" s="1"/>
  <c r="E156" i="26"/>
  <c r="E32" i="26"/>
  <c r="E65" i="26"/>
  <c r="E226" i="26"/>
  <c r="E159" i="26"/>
  <c r="D121" i="20"/>
  <c r="J19" i="31" s="1"/>
  <c r="D290" i="8"/>
  <c r="K7" i="31" s="1"/>
  <c r="L7" i="31" s="1"/>
  <c r="E292" i="15"/>
  <c r="F290" i="18"/>
  <c r="F264" i="17"/>
  <c r="G264" i="17"/>
  <c r="E290" i="22"/>
  <c r="O21" i="31" s="1"/>
  <c r="F290" i="22"/>
  <c r="F638" i="25"/>
  <c r="E290" i="20"/>
  <c r="O19" i="31" s="1"/>
  <c r="F290" i="20"/>
  <c r="J259" i="25"/>
  <c r="J266" i="25" s="1"/>
  <c r="I266" i="25"/>
  <c r="I442" i="25"/>
  <c r="J434" i="25"/>
  <c r="J442" i="25" s="1"/>
  <c r="J512" i="25"/>
  <c r="J519" i="25" s="1"/>
  <c r="I519" i="25"/>
  <c r="G599" i="25"/>
  <c r="H588" i="25"/>
  <c r="G321" i="25"/>
  <c r="H318" i="25"/>
  <c r="G649" i="25"/>
  <c r="H642" i="25"/>
  <c r="I362" i="25"/>
  <c r="H384" i="25"/>
  <c r="H386" i="25" s="1"/>
  <c r="H628" i="25"/>
  <c r="G636" i="25"/>
  <c r="I349" i="25"/>
  <c r="H350" i="25"/>
  <c r="H352" i="25" s="1"/>
  <c r="I187" i="25"/>
  <c r="J187" i="25" s="1"/>
  <c r="H199" i="25"/>
  <c r="I199" i="25" s="1"/>
  <c r="J199" i="25" s="1"/>
  <c r="G254" i="25"/>
  <c r="H211" i="25"/>
  <c r="H73" i="25"/>
  <c r="J467" i="25"/>
  <c r="J480" i="25" s="1"/>
  <c r="I480" i="25"/>
  <c r="J73" i="25"/>
  <c r="J252" i="25"/>
  <c r="G73" i="25"/>
  <c r="I396" i="25"/>
  <c r="G521" i="25"/>
  <c r="I73" i="25"/>
  <c r="J693" i="25"/>
  <c r="J701" i="25" s="1"/>
  <c r="J740" i="25" s="1"/>
  <c r="I701" i="25"/>
  <c r="I740" i="25" s="1"/>
  <c r="I360" i="25"/>
  <c r="J356" i="25"/>
  <c r="J360" i="25" s="1"/>
  <c r="I486" i="25"/>
  <c r="H490" i="25"/>
  <c r="H521" i="25" s="1"/>
  <c r="I77" i="25"/>
  <c r="H112" i="25"/>
  <c r="H170" i="25" s="1"/>
  <c r="J396" i="25"/>
  <c r="C292" i="9"/>
  <c r="C121" i="24"/>
  <c r="E121" i="20"/>
  <c r="N19" i="31" s="1"/>
  <c r="E121" i="16"/>
  <c r="F292" i="14"/>
  <c r="E121" i="14"/>
  <c r="F121" i="13"/>
  <c r="D7" i="7"/>
  <c r="I574" i="6"/>
  <c r="J574" i="6" s="1"/>
  <c r="I573" i="6"/>
  <c r="J573" i="6" s="1"/>
  <c r="I531" i="6"/>
  <c r="J531" i="6" s="1"/>
  <c r="H735" i="6"/>
  <c r="I735" i="6" s="1"/>
  <c r="J735" i="6" s="1"/>
  <c r="H730" i="6"/>
  <c r="I730" i="6" s="1"/>
  <c r="J730" i="6" s="1"/>
  <c r="H726" i="6"/>
  <c r="I726" i="6" s="1"/>
  <c r="J726" i="6" s="1"/>
  <c r="E738" i="6"/>
  <c r="I737" i="6"/>
  <c r="J737" i="6" s="1"/>
  <c r="H736" i="6"/>
  <c r="I736" i="6" s="1"/>
  <c r="J736" i="6" s="1"/>
  <c r="H734" i="6"/>
  <c r="I734" i="6" s="1"/>
  <c r="J734" i="6" s="1"/>
  <c r="I732" i="6"/>
  <c r="J732" i="6" s="1"/>
  <c r="I731" i="6"/>
  <c r="J731" i="6" s="1"/>
  <c r="H729" i="6"/>
  <c r="I729" i="6" s="1"/>
  <c r="J729" i="6" s="1"/>
  <c r="H728" i="6"/>
  <c r="I728" i="6" s="1"/>
  <c r="J728" i="6" s="1"/>
  <c r="I727" i="6"/>
  <c r="J727" i="6" s="1"/>
  <c r="H725" i="6"/>
  <c r="I725" i="6" s="1"/>
  <c r="J725" i="6" s="1"/>
  <c r="I724" i="6"/>
  <c r="J724" i="6" s="1"/>
  <c r="H723" i="6"/>
  <c r="I723" i="6" s="1"/>
  <c r="J723" i="6" s="1"/>
  <c r="H722" i="6"/>
  <c r="I722" i="6" s="1"/>
  <c r="J722" i="6" s="1"/>
  <c r="H721" i="6"/>
  <c r="I721" i="6" s="1"/>
  <c r="J721" i="6" s="1"/>
  <c r="H720" i="6"/>
  <c r="I720" i="6" s="1"/>
  <c r="J720" i="6" s="1"/>
  <c r="H719" i="6"/>
  <c r="I719" i="6" s="1"/>
  <c r="J719" i="6" s="1"/>
  <c r="H718" i="6"/>
  <c r="I718" i="6" s="1"/>
  <c r="J718" i="6" s="1"/>
  <c r="H717" i="6"/>
  <c r="I717" i="6" s="1"/>
  <c r="J717" i="6" s="1"/>
  <c r="H716" i="6"/>
  <c r="I716" i="6" s="1"/>
  <c r="J716" i="6" s="1"/>
  <c r="H715" i="6"/>
  <c r="I715" i="6" s="1"/>
  <c r="J715" i="6" s="1"/>
  <c r="H714" i="6"/>
  <c r="I714" i="6" s="1"/>
  <c r="J714" i="6" s="1"/>
  <c r="H713" i="6"/>
  <c r="I713" i="6" s="1"/>
  <c r="J713" i="6" s="1"/>
  <c r="H712" i="6"/>
  <c r="I712" i="6" s="1"/>
  <c r="J712" i="6" s="1"/>
  <c r="H711" i="6"/>
  <c r="I711" i="6" s="1"/>
  <c r="J711" i="6" s="1"/>
  <c r="H710" i="6"/>
  <c r="I710" i="6" s="1"/>
  <c r="J710" i="6" s="1"/>
  <c r="H709" i="6"/>
  <c r="I709" i="6" s="1"/>
  <c r="J709" i="6" s="1"/>
  <c r="H708" i="6"/>
  <c r="I708" i="6" s="1"/>
  <c r="J708" i="6" s="1"/>
  <c r="H707" i="6"/>
  <c r="I707" i="6" s="1"/>
  <c r="J707" i="6" s="1"/>
  <c r="H706" i="6"/>
  <c r="I706" i="6" s="1"/>
  <c r="J706" i="6" s="1"/>
  <c r="H705" i="6"/>
  <c r="I705" i="6" s="1"/>
  <c r="J705" i="6" s="1"/>
  <c r="H704" i="6"/>
  <c r="I704" i="6" s="1"/>
  <c r="J704" i="6" s="1"/>
  <c r="H703" i="6"/>
  <c r="I703" i="6" s="1"/>
  <c r="J703" i="6" s="1"/>
  <c r="E701" i="6"/>
  <c r="G700" i="6"/>
  <c r="H700" i="6" s="1"/>
  <c r="I700" i="6" s="1"/>
  <c r="J700" i="6" s="1"/>
  <c r="G699" i="6"/>
  <c r="H699" i="6" s="1"/>
  <c r="I699" i="6" s="1"/>
  <c r="J699" i="6" s="1"/>
  <c r="G698" i="6"/>
  <c r="H698" i="6" s="1"/>
  <c r="I698" i="6" s="1"/>
  <c r="J698" i="6" s="1"/>
  <c r="G697" i="6"/>
  <c r="H697" i="6" s="1"/>
  <c r="I697" i="6" s="1"/>
  <c r="J697" i="6" s="1"/>
  <c r="G696" i="6"/>
  <c r="H696" i="6" s="1"/>
  <c r="I696" i="6" s="1"/>
  <c r="J696" i="6" s="1"/>
  <c r="F695" i="6"/>
  <c r="G695" i="6" s="1"/>
  <c r="I695" i="6" s="1"/>
  <c r="J695" i="6" s="1"/>
  <c r="G694" i="6"/>
  <c r="I694" i="6" s="1"/>
  <c r="J694" i="6" s="1"/>
  <c r="F693" i="6"/>
  <c r="G693" i="6" s="1"/>
  <c r="H693" i="6" s="1"/>
  <c r="I693" i="6" s="1"/>
  <c r="J693" i="6" s="1"/>
  <c r="F580" i="6"/>
  <c r="G580" i="6" s="1"/>
  <c r="H580" i="6" s="1"/>
  <c r="I580" i="6" s="1"/>
  <c r="J580" i="6" s="1"/>
  <c r="E580" i="6"/>
  <c r="E582" i="6" s="1"/>
  <c r="G56" i="6"/>
  <c r="H56" i="6" s="1"/>
  <c r="I56" i="6" s="1"/>
  <c r="J56" i="6" s="1"/>
  <c r="G55" i="6"/>
  <c r="H55" i="6" s="1"/>
  <c r="I55" i="6" s="1"/>
  <c r="J55" i="6" s="1"/>
  <c r="E65" i="6"/>
  <c r="E71" i="6" s="1"/>
  <c r="E687" i="6"/>
  <c r="G686" i="6"/>
  <c r="I686" i="6" s="1"/>
  <c r="J686" i="6" s="1"/>
  <c r="G685" i="6"/>
  <c r="H685" i="6" s="1"/>
  <c r="I685" i="6" s="1"/>
  <c r="J685" i="6" s="1"/>
  <c r="G684" i="6"/>
  <c r="H684" i="6" s="1"/>
  <c r="I684" i="6" s="1"/>
  <c r="J684" i="6" s="1"/>
  <c r="G683" i="6"/>
  <c r="H683" i="6" s="1"/>
  <c r="I683" i="6" s="1"/>
  <c r="J683" i="6" s="1"/>
  <c r="F680" i="6"/>
  <c r="G680" i="6" s="1"/>
  <c r="I680" i="6" s="1"/>
  <c r="J680" i="6" s="1"/>
  <c r="F679" i="6"/>
  <c r="G679" i="6" s="1"/>
  <c r="I679" i="6" s="1"/>
  <c r="J679" i="6" s="1"/>
  <c r="G678" i="6"/>
  <c r="H678" i="6" s="1"/>
  <c r="I678" i="6" s="1"/>
  <c r="J678" i="6" s="1"/>
  <c r="G677" i="6"/>
  <c r="H677" i="6" s="1"/>
  <c r="I677" i="6" s="1"/>
  <c r="J677" i="6" s="1"/>
  <c r="G676" i="6"/>
  <c r="H676" i="6" s="1"/>
  <c r="I676" i="6" s="1"/>
  <c r="J676" i="6" s="1"/>
  <c r="G675" i="6"/>
  <c r="I675" i="6" s="1"/>
  <c r="J675" i="6" s="1"/>
  <c r="G674" i="6"/>
  <c r="H674" i="6" s="1"/>
  <c r="I674" i="6" s="1"/>
  <c r="J674" i="6" s="1"/>
  <c r="G673" i="6"/>
  <c r="H673" i="6" s="1"/>
  <c r="I673" i="6" s="1"/>
  <c r="J673" i="6" s="1"/>
  <c r="F672" i="6"/>
  <c r="G672" i="6" s="1"/>
  <c r="I672" i="6" s="1"/>
  <c r="J672" i="6" s="1"/>
  <c r="G671" i="6"/>
  <c r="H671" i="6" s="1"/>
  <c r="I671" i="6" s="1"/>
  <c r="J671" i="6" s="1"/>
  <c r="G670" i="6"/>
  <c r="H670" i="6" s="1"/>
  <c r="I670" i="6" s="1"/>
  <c r="J670" i="6" s="1"/>
  <c r="G669" i="6"/>
  <c r="H669" i="6" s="1"/>
  <c r="I669" i="6" s="1"/>
  <c r="J669" i="6" s="1"/>
  <c r="G668" i="6"/>
  <c r="H668" i="6" s="1"/>
  <c r="I668" i="6" s="1"/>
  <c r="J668" i="6" s="1"/>
  <c r="G667" i="6"/>
  <c r="H667" i="6" s="1"/>
  <c r="I667" i="6" s="1"/>
  <c r="J667" i="6" s="1"/>
  <c r="G666" i="6"/>
  <c r="H666" i="6" s="1"/>
  <c r="I666" i="6" s="1"/>
  <c r="J666" i="6" s="1"/>
  <c r="G665" i="6"/>
  <c r="H665" i="6" s="1"/>
  <c r="I665" i="6" s="1"/>
  <c r="J665" i="6" s="1"/>
  <c r="G664" i="6"/>
  <c r="H664" i="6" s="1"/>
  <c r="I664" i="6" s="1"/>
  <c r="J664" i="6" s="1"/>
  <c r="G663" i="6"/>
  <c r="H663" i="6" s="1"/>
  <c r="I663" i="6" s="1"/>
  <c r="J663" i="6" s="1"/>
  <c r="G662" i="6"/>
  <c r="H662" i="6" s="1"/>
  <c r="I662" i="6" s="1"/>
  <c r="J662" i="6" s="1"/>
  <c r="G661" i="6"/>
  <c r="H661" i="6" s="1"/>
  <c r="I661" i="6" s="1"/>
  <c r="J661" i="6" s="1"/>
  <c r="G660" i="6"/>
  <c r="H660" i="6" s="1"/>
  <c r="I660" i="6" s="1"/>
  <c r="J660" i="6" s="1"/>
  <c r="G659" i="6"/>
  <c r="H659" i="6" s="1"/>
  <c r="I659" i="6" s="1"/>
  <c r="J659" i="6" s="1"/>
  <c r="G658" i="6"/>
  <c r="H658" i="6" s="1"/>
  <c r="I658" i="6" s="1"/>
  <c r="J658" i="6" s="1"/>
  <c r="G657" i="6"/>
  <c r="H657" i="6" s="1"/>
  <c r="I657" i="6" s="1"/>
  <c r="J657" i="6" s="1"/>
  <c r="G656" i="6"/>
  <c r="H656" i="6" s="1"/>
  <c r="I656" i="6" s="1"/>
  <c r="J656" i="6" s="1"/>
  <c r="G655" i="6"/>
  <c r="H655" i="6" s="1"/>
  <c r="I655" i="6" s="1"/>
  <c r="J655" i="6" s="1"/>
  <c r="G654" i="6"/>
  <c r="H654" i="6" s="1"/>
  <c r="I654" i="6" s="1"/>
  <c r="J654" i="6" s="1"/>
  <c r="G653" i="6"/>
  <c r="H653" i="6" s="1"/>
  <c r="I653" i="6" s="1"/>
  <c r="J653" i="6" s="1"/>
  <c r="G652" i="6"/>
  <c r="H652" i="6" s="1"/>
  <c r="I652" i="6" s="1"/>
  <c r="J652" i="6" s="1"/>
  <c r="F651" i="6"/>
  <c r="E649" i="6"/>
  <c r="G648" i="6"/>
  <c r="H648" i="6" s="1"/>
  <c r="I648" i="6" s="1"/>
  <c r="J648" i="6" s="1"/>
  <c r="G647" i="6"/>
  <c r="H647" i="6" s="1"/>
  <c r="I647" i="6" s="1"/>
  <c r="J647" i="6" s="1"/>
  <c r="G646" i="6"/>
  <c r="H646" i="6" s="1"/>
  <c r="I646" i="6" s="1"/>
  <c r="J646" i="6" s="1"/>
  <c r="G645" i="6"/>
  <c r="H645" i="6" s="1"/>
  <c r="I645" i="6" s="1"/>
  <c r="J645" i="6" s="1"/>
  <c r="G643" i="6"/>
  <c r="I643" i="6" s="1"/>
  <c r="J643" i="6" s="1"/>
  <c r="F642" i="6"/>
  <c r="G642" i="6" s="1"/>
  <c r="H642" i="6" s="1"/>
  <c r="I642" i="6" s="1"/>
  <c r="J642" i="6" s="1"/>
  <c r="E636" i="6"/>
  <c r="G635" i="6"/>
  <c r="H635" i="6" s="1"/>
  <c r="I635" i="6" s="1"/>
  <c r="J635" i="6" s="1"/>
  <c r="G634" i="6"/>
  <c r="H634" i="6" s="1"/>
  <c r="I634" i="6" s="1"/>
  <c r="J634" i="6" s="1"/>
  <c r="G633" i="6"/>
  <c r="H633" i="6" s="1"/>
  <c r="I633" i="6" s="1"/>
  <c r="J633" i="6" s="1"/>
  <c r="G632" i="6"/>
  <c r="H632" i="6" s="1"/>
  <c r="I632" i="6" s="1"/>
  <c r="J632" i="6" s="1"/>
  <c r="G631" i="6"/>
  <c r="H631" i="6" s="1"/>
  <c r="I631" i="6" s="1"/>
  <c r="J631" i="6" s="1"/>
  <c r="G629" i="6"/>
  <c r="I629" i="6" s="1"/>
  <c r="J629" i="6" s="1"/>
  <c r="G628" i="6"/>
  <c r="I628" i="6" s="1"/>
  <c r="J628" i="6" s="1"/>
  <c r="G627" i="6"/>
  <c r="H627" i="6" s="1"/>
  <c r="I627" i="6" s="1"/>
  <c r="J627" i="6" s="1"/>
  <c r="G626" i="6"/>
  <c r="H626" i="6" s="1"/>
  <c r="I626" i="6" s="1"/>
  <c r="J626" i="6" s="1"/>
  <c r="G625" i="6"/>
  <c r="H625" i="6" s="1"/>
  <c r="I625" i="6" s="1"/>
  <c r="J625" i="6" s="1"/>
  <c r="G624" i="6"/>
  <c r="I624" i="6" s="1"/>
  <c r="J624" i="6" s="1"/>
  <c r="F623" i="6"/>
  <c r="G623" i="6" s="1"/>
  <c r="I623" i="6" s="1"/>
  <c r="J623" i="6" s="1"/>
  <c r="G622" i="6"/>
  <c r="I622" i="6" s="1"/>
  <c r="J622" i="6" s="1"/>
  <c r="G620" i="6"/>
  <c r="I620" i="6" s="1"/>
  <c r="J620" i="6" s="1"/>
  <c r="F619" i="6"/>
  <c r="G619" i="6" s="1"/>
  <c r="H619" i="6" s="1"/>
  <c r="I619" i="6" s="1"/>
  <c r="J619" i="6" s="1"/>
  <c r="G618" i="6"/>
  <c r="I618" i="6" s="1"/>
  <c r="J618" i="6" s="1"/>
  <c r="G617" i="6"/>
  <c r="H617" i="6" s="1"/>
  <c r="I617" i="6" s="1"/>
  <c r="J617" i="6" s="1"/>
  <c r="G616" i="6"/>
  <c r="H616" i="6" s="1"/>
  <c r="I616" i="6" s="1"/>
  <c r="J616" i="6" s="1"/>
  <c r="G614" i="6"/>
  <c r="H614" i="6" s="1"/>
  <c r="I614" i="6" s="1"/>
  <c r="J614" i="6" s="1"/>
  <c r="G613" i="6"/>
  <c r="H613" i="6" s="1"/>
  <c r="I613" i="6" s="1"/>
  <c r="J613" i="6" s="1"/>
  <c r="G612" i="6"/>
  <c r="H612" i="6" s="1"/>
  <c r="I612" i="6" s="1"/>
  <c r="J612" i="6" s="1"/>
  <c r="F611" i="6"/>
  <c r="G611" i="6" s="1"/>
  <c r="H611" i="6" s="1"/>
  <c r="I611" i="6" s="1"/>
  <c r="J611" i="6" s="1"/>
  <c r="G610" i="6"/>
  <c r="H610" i="6" s="1"/>
  <c r="I610" i="6" s="1"/>
  <c r="J610" i="6" s="1"/>
  <c r="G609" i="6"/>
  <c r="H609" i="6" s="1"/>
  <c r="I609" i="6" s="1"/>
  <c r="J609" i="6" s="1"/>
  <c r="G608" i="6"/>
  <c r="H608" i="6" s="1"/>
  <c r="I608" i="6" s="1"/>
  <c r="J608" i="6" s="1"/>
  <c r="G607" i="6"/>
  <c r="H607" i="6" s="1"/>
  <c r="I607" i="6" s="1"/>
  <c r="J607" i="6" s="1"/>
  <c r="G606" i="6"/>
  <c r="H606" i="6" s="1"/>
  <c r="I606" i="6" s="1"/>
  <c r="J606" i="6" s="1"/>
  <c r="G605" i="6"/>
  <c r="I605" i="6" s="1"/>
  <c r="J605" i="6" s="1"/>
  <c r="G604" i="6"/>
  <c r="H604" i="6" s="1"/>
  <c r="I604" i="6" s="1"/>
  <c r="J604" i="6" s="1"/>
  <c r="G603" i="6"/>
  <c r="I603" i="6" s="1"/>
  <c r="J603" i="6" s="1"/>
  <c r="G602" i="6"/>
  <c r="H602" i="6" s="1"/>
  <c r="I602" i="6" s="1"/>
  <c r="J602" i="6" s="1"/>
  <c r="F601" i="6"/>
  <c r="E599" i="6"/>
  <c r="G598" i="6"/>
  <c r="H598" i="6" s="1"/>
  <c r="I598" i="6" s="1"/>
  <c r="J598" i="6" s="1"/>
  <c r="G597" i="6"/>
  <c r="H597" i="6" s="1"/>
  <c r="I597" i="6" s="1"/>
  <c r="J597" i="6" s="1"/>
  <c r="G596" i="6"/>
  <c r="H596" i="6" s="1"/>
  <c r="I596" i="6" s="1"/>
  <c r="J596" i="6" s="1"/>
  <c r="G595" i="6"/>
  <c r="H595" i="6" s="1"/>
  <c r="I595" i="6" s="1"/>
  <c r="J595" i="6" s="1"/>
  <c r="F591" i="6"/>
  <c r="G591" i="6" s="1"/>
  <c r="I591" i="6" s="1"/>
  <c r="J591" i="6" s="1"/>
  <c r="G590" i="6"/>
  <c r="H590" i="6" s="1"/>
  <c r="I590" i="6" s="1"/>
  <c r="J590" i="6" s="1"/>
  <c r="G589" i="6"/>
  <c r="I589" i="6" s="1"/>
  <c r="J589" i="6" s="1"/>
  <c r="F588" i="6"/>
  <c r="G581" i="6"/>
  <c r="I581" i="6" s="1"/>
  <c r="J581" i="6" s="1"/>
  <c r="G579" i="6"/>
  <c r="H579" i="6" s="1"/>
  <c r="I579" i="6" s="1"/>
  <c r="J579" i="6" s="1"/>
  <c r="G578" i="6"/>
  <c r="I578" i="6" s="1"/>
  <c r="J578" i="6" s="1"/>
  <c r="G577" i="6"/>
  <c r="H577" i="6" s="1"/>
  <c r="I577" i="6" s="1"/>
  <c r="J577" i="6" s="1"/>
  <c r="G576" i="6"/>
  <c r="H576" i="6" s="1"/>
  <c r="I576" i="6" s="1"/>
  <c r="J576" i="6" s="1"/>
  <c r="G572" i="6"/>
  <c r="I572" i="6" s="1"/>
  <c r="J572" i="6" s="1"/>
  <c r="F571" i="6"/>
  <c r="G571" i="6" s="1"/>
  <c r="I571" i="6" s="1"/>
  <c r="J571" i="6" s="1"/>
  <c r="G570" i="6"/>
  <c r="H570" i="6" s="1"/>
  <c r="I570" i="6" s="1"/>
  <c r="J570" i="6" s="1"/>
  <c r="G569" i="6"/>
  <c r="H569" i="6" s="1"/>
  <c r="I569" i="6" s="1"/>
  <c r="J569" i="6" s="1"/>
  <c r="G568" i="6"/>
  <c r="H568" i="6" s="1"/>
  <c r="I568" i="6" s="1"/>
  <c r="J568" i="6" s="1"/>
  <c r="G567" i="6"/>
  <c r="I567" i="6" s="1"/>
  <c r="J567" i="6" s="1"/>
  <c r="G566" i="6"/>
  <c r="I566" i="6" s="1"/>
  <c r="J566" i="6" s="1"/>
  <c r="G565" i="6"/>
  <c r="H565" i="6" s="1"/>
  <c r="I565" i="6" s="1"/>
  <c r="J565" i="6" s="1"/>
  <c r="G564" i="6"/>
  <c r="I564" i="6" s="1"/>
  <c r="J564" i="6" s="1"/>
  <c r="G563" i="6"/>
  <c r="H563" i="6" s="1"/>
  <c r="I563" i="6" s="1"/>
  <c r="J563" i="6" s="1"/>
  <c r="G562" i="6"/>
  <c r="H562" i="6" s="1"/>
  <c r="I562" i="6" s="1"/>
  <c r="J562" i="6" s="1"/>
  <c r="F558" i="6"/>
  <c r="G558" i="6" s="1"/>
  <c r="H558" i="6" s="1"/>
  <c r="I558" i="6" s="1"/>
  <c r="J558" i="6" s="1"/>
  <c r="F557" i="6"/>
  <c r="G557" i="6" s="1"/>
  <c r="H557" i="6" s="1"/>
  <c r="I557" i="6" s="1"/>
  <c r="J557" i="6" s="1"/>
  <c r="G556" i="6"/>
  <c r="H556" i="6" s="1"/>
  <c r="I556" i="6" s="1"/>
  <c r="J556" i="6" s="1"/>
  <c r="G555" i="6"/>
  <c r="H555" i="6" s="1"/>
  <c r="I555" i="6" s="1"/>
  <c r="J555" i="6" s="1"/>
  <c r="G553" i="6"/>
  <c r="H553" i="6" s="1"/>
  <c r="I553" i="6" s="1"/>
  <c r="J553" i="6" s="1"/>
  <c r="G552" i="6"/>
  <c r="H552" i="6" s="1"/>
  <c r="I552" i="6" s="1"/>
  <c r="J552" i="6" s="1"/>
  <c r="G551" i="6"/>
  <c r="H551" i="6" s="1"/>
  <c r="I551" i="6" s="1"/>
  <c r="J551" i="6" s="1"/>
  <c r="G550" i="6"/>
  <c r="H550" i="6" s="1"/>
  <c r="I550" i="6" s="1"/>
  <c r="J550" i="6" s="1"/>
  <c r="G549" i="6"/>
  <c r="H549" i="6" s="1"/>
  <c r="I549" i="6" s="1"/>
  <c r="J549" i="6" s="1"/>
  <c r="G548" i="6"/>
  <c r="H548" i="6" s="1"/>
  <c r="I548" i="6" s="1"/>
  <c r="J548" i="6" s="1"/>
  <c r="G547" i="6"/>
  <c r="H547" i="6" s="1"/>
  <c r="I547" i="6" s="1"/>
  <c r="J547" i="6" s="1"/>
  <c r="G546" i="6"/>
  <c r="H546" i="6" s="1"/>
  <c r="I546" i="6" s="1"/>
  <c r="J546" i="6" s="1"/>
  <c r="G545" i="6"/>
  <c r="H545" i="6" s="1"/>
  <c r="I545" i="6" s="1"/>
  <c r="J545" i="6" s="1"/>
  <c r="G544" i="6"/>
  <c r="H544" i="6" s="1"/>
  <c r="I544" i="6" s="1"/>
  <c r="J544" i="6" s="1"/>
  <c r="G543" i="6"/>
  <c r="H543" i="6" s="1"/>
  <c r="I543" i="6" s="1"/>
  <c r="J543" i="6" s="1"/>
  <c r="G542" i="6"/>
  <c r="I542" i="6" s="1"/>
  <c r="J542" i="6" s="1"/>
  <c r="G541" i="6"/>
  <c r="H541" i="6" s="1"/>
  <c r="I541" i="6" s="1"/>
  <c r="J541" i="6" s="1"/>
  <c r="G540" i="6"/>
  <c r="I540" i="6" s="1"/>
  <c r="J540" i="6" s="1"/>
  <c r="G539" i="6"/>
  <c r="H539" i="6" s="1"/>
  <c r="I539" i="6" s="1"/>
  <c r="J539" i="6" s="1"/>
  <c r="F538" i="6"/>
  <c r="G538" i="6" s="1"/>
  <c r="H538" i="6" s="1"/>
  <c r="I538" i="6" s="1"/>
  <c r="J538" i="6" s="1"/>
  <c r="E536" i="6"/>
  <c r="G535" i="6"/>
  <c r="I535" i="6" s="1"/>
  <c r="J535" i="6" s="1"/>
  <c r="G534" i="6"/>
  <c r="H534" i="6" s="1"/>
  <c r="I534" i="6" s="1"/>
  <c r="J534" i="6" s="1"/>
  <c r="G533" i="6"/>
  <c r="H533" i="6" s="1"/>
  <c r="I533" i="6" s="1"/>
  <c r="J533" i="6" s="1"/>
  <c r="G532" i="6"/>
  <c r="H532" i="6" s="1"/>
  <c r="I532" i="6" s="1"/>
  <c r="J532" i="6" s="1"/>
  <c r="G530" i="6"/>
  <c r="I530" i="6" s="1"/>
  <c r="J530" i="6" s="1"/>
  <c r="F529" i="6"/>
  <c r="G529" i="6" s="1"/>
  <c r="F528" i="6"/>
  <c r="G528" i="6" s="1"/>
  <c r="I528" i="6" s="1"/>
  <c r="J528" i="6" s="1"/>
  <c r="G527" i="6"/>
  <c r="I527" i="6" s="1"/>
  <c r="J527" i="6" s="1"/>
  <c r="F526" i="6"/>
  <c r="G526" i="6" s="1"/>
  <c r="H526" i="6" s="1"/>
  <c r="I526" i="6" s="1"/>
  <c r="J526" i="6" s="1"/>
  <c r="F525" i="6"/>
  <c r="E519" i="6"/>
  <c r="G518" i="6"/>
  <c r="H518" i="6" s="1"/>
  <c r="I518" i="6" s="1"/>
  <c r="J518" i="6" s="1"/>
  <c r="G517" i="6"/>
  <c r="H517" i="6" s="1"/>
  <c r="I517" i="6" s="1"/>
  <c r="J517" i="6" s="1"/>
  <c r="G516" i="6"/>
  <c r="H516" i="6" s="1"/>
  <c r="I516" i="6" s="1"/>
  <c r="J516" i="6" s="1"/>
  <c r="G515" i="6"/>
  <c r="I515" i="6" s="1"/>
  <c r="J515" i="6" s="1"/>
  <c r="G514" i="6"/>
  <c r="I514" i="6" s="1"/>
  <c r="J514" i="6" s="1"/>
  <c r="G513" i="6"/>
  <c r="I513" i="6" s="1"/>
  <c r="J513" i="6" s="1"/>
  <c r="G512" i="6"/>
  <c r="I512" i="6" s="1"/>
  <c r="J512" i="6" s="1"/>
  <c r="F511" i="6"/>
  <c r="G511" i="6" s="1"/>
  <c r="I511" i="6" s="1"/>
  <c r="J511" i="6" s="1"/>
  <c r="G510" i="6"/>
  <c r="H510" i="6" s="1"/>
  <c r="I510" i="6" s="1"/>
  <c r="J510" i="6" s="1"/>
  <c r="G509" i="6"/>
  <c r="I509" i="6" s="1"/>
  <c r="J509" i="6" s="1"/>
  <c r="G508" i="6"/>
  <c r="H508" i="6" s="1"/>
  <c r="I508" i="6" s="1"/>
  <c r="J508" i="6" s="1"/>
  <c r="G507" i="6"/>
  <c r="H507" i="6" s="1"/>
  <c r="I507" i="6" s="1"/>
  <c r="J507" i="6" s="1"/>
  <c r="G506" i="6"/>
  <c r="H506" i="6" s="1"/>
  <c r="I506" i="6" s="1"/>
  <c r="J506" i="6" s="1"/>
  <c r="G505" i="6"/>
  <c r="H505" i="6" s="1"/>
  <c r="I505" i="6" s="1"/>
  <c r="J505" i="6" s="1"/>
  <c r="G504" i="6"/>
  <c r="H504" i="6" s="1"/>
  <c r="I504" i="6" s="1"/>
  <c r="J504" i="6" s="1"/>
  <c r="G502" i="6"/>
  <c r="H502" i="6" s="1"/>
  <c r="I502" i="6" s="1"/>
  <c r="J502" i="6" s="1"/>
  <c r="G501" i="6"/>
  <c r="H501" i="6" s="1"/>
  <c r="I501" i="6" s="1"/>
  <c r="J501" i="6" s="1"/>
  <c r="G500" i="6"/>
  <c r="H500" i="6" s="1"/>
  <c r="I500" i="6" s="1"/>
  <c r="J500" i="6" s="1"/>
  <c r="G499" i="6"/>
  <c r="H499" i="6" s="1"/>
  <c r="I499" i="6" s="1"/>
  <c r="J499" i="6" s="1"/>
  <c r="G498" i="6"/>
  <c r="H498" i="6" s="1"/>
  <c r="I498" i="6" s="1"/>
  <c r="J498" i="6" s="1"/>
  <c r="G497" i="6"/>
  <c r="H497" i="6" s="1"/>
  <c r="I497" i="6" s="1"/>
  <c r="J497" i="6" s="1"/>
  <c r="G496" i="6"/>
  <c r="H496" i="6" s="1"/>
  <c r="I496" i="6" s="1"/>
  <c r="J496" i="6" s="1"/>
  <c r="G495" i="6"/>
  <c r="H495" i="6" s="1"/>
  <c r="I495" i="6" s="1"/>
  <c r="J495" i="6" s="1"/>
  <c r="G494" i="6"/>
  <c r="H494" i="6" s="1"/>
  <c r="I494" i="6" s="1"/>
  <c r="J494" i="6" s="1"/>
  <c r="G493" i="6"/>
  <c r="H493" i="6" s="1"/>
  <c r="I493" i="6" s="1"/>
  <c r="J493" i="6" s="1"/>
  <c r="F492" i="6"/>
  <c r="F490" i="6"/>
  <c r="E490" i="6"/>
  <c r="G489" i="6"/>
  <c r="H489" i="6" s="1"/>
  <c r="I489" i="6" s="1"/>
  <c r="J489" i="6" s="1"/>
  <c r="G488" i="6"/>
  <c r="H488" i="6" s="1"/>
  <c r="I488" i="6" s="1"/>
  <c r="J488" i="6" s="1"/>
  <c r="G486" i="6"/>
  <c r="H486" i="6" s="1"/>
  <c r="I486" i="6" s="1"/>
  <c r="J486" i="6" s="1"/>
  <c r="F480" i="6"/>
  <c r="E480" i="6"/>
  <c r="G479" i="6"/>
  <c r="H479" i="6" s="1"/>
  <c r="I479" i="6" s="1"/>
  <c r="J479" i="6" s="1"/>
  <c r="G478" i="6"/>
  <c r="H478" i="6" s="1"/>
  <c r="I478" i="6" s="1"/>
  <c r="J478" i="6" s="1"/>
  <c r="G477" i="6"/>
  <c r="H477" i="6" s="1"/>
  <c r="I477" i="6" s="1"/>
  <c r="J477" i="6" s="1"/>
  <c r="G476" i="6"/>
  <c r="H476" i="6" s="1"/>
  <c r="I476" i="6" s="1"/>
  <c r="J476" i="6" s="1"/>
  <c r="G475" i="6"/>
  <c r="H475" i="6" s="1"/>
  <c r="I475" i="6" s="1"/>
  <c r="J475" i="6" s="1"/>
  <c r="G474" i="6"/>
  <c r="H474" i="6" s="1"/>
  <c r="I474" i="6" s="1"/>
  <c r="J474" i="6" s="1"/>
  <c r="G473" i="6"/>
  <c r="H473" i="6" s="1"/>
  <c r="I473" i="6" s="1"/>
  <c r="J473" i="6" s="1"/>
  <c r="G472" i="6"/>
  <c r="H472" i="6" s="1"/>
  <c r="I472" i="6" s="1"/>
  <c r="J472" i="6" s="1"/>
  <c r="G471" i="6"/>
  <c r="H471" i="6" s="1"/>
  <c r="I471" i="6" s="1"/>
  <c r="J471" i="6" s="1"/>
  <c r="G470" i="6"/>
  <c r="H470" i="6" s="1"/>
  <c r="I470" i="6" s="1"/>
  <c r="J470" i="6" s="1"/>
  <c r="G469" i="6"/>
  <c r="H469" i="6" s="1"/>
  <c r="I469" i="6" s="1"/>
  <c r="J469" i="6" s="1"/>
  <c r="G468" i="6"/>
  <c r="H468" i="6" s="1"/>
  <c r="I468" i="6" s="1"/>
  <c r="J468" i="6" s="1"/>
  <c r="G467" i="6"/>
  <c r="H467" i="6" s="1"/>
  <c r="I467" i="6" s="1"/>
  <c r="J467" i="6" s="1"/>
  <c r="G466" i="6"/>
  <c r="H466" i="6" s="1"/>
  <c r="I466" i="6" s="1"/>
  <c r="J466" i="6" s="1"/>
  <c r="G465" i="6"/>
  <c r="H465" i="6" s="1"/>
  <c r="I465" i="6" s="1"/>
  <c r="J465" i="6" s="1"/>
  <c r="G464" i="6"/>
  <c r="H464" i="6" s="1"/>
  <c r="I464" i="6" s="1"/>
  <c r="J464" i="6" s="1"/>
  <c r="G463" i="6"/>
  <c r="H463" i="6" s="1"/>
  <c r="I463" i="6" s="1"/>
  <c r="J463" i="6" s="1"/>
  <c r="G462" i="6"/>
  <c r="H462" i="6" s="1"/>
  <c r="I462" i="6" s="1"/>
  <c r="J462" i="6" s="1"/>
  <c r="G461" i="6"/>
  <c r="H461" i="6" s="1"/>
  <c r="I461" i="6" s="1"/>
  <c r="J461" i="6" s="1"/>
  <c r="G460" i="6"/>
  <c r="H460" i="6" s="1"/>
  <c r="I460" i="6" s="1"/>
  <c r="J460" i="6" s="1"/>
  <c r="G459" i="6"/>
  <c r="H459" i="6" s="1"/>
  <c r="I459" i="6" s="1"/>
  <c r="J459" i="6" s="1"/>
  <c r="G458" i="6"/>
  <c r="H458" i="6" s="1"/>
  <c r="I458" i="6" s="1"/>
  <c r="J458" i="6" s="1"/>
  <c r="G457" i="6"/>
  <c r="H457" i="6" s="1"/>
  <c r="I457" i="6" s="1"/>
  <c r="J457" i="6" s="1"/>
  <c r="G456" i="6"/>
  <c r="H456" i="6" s="1"/>
  <c r="I456" i="6" s="1"/>
  <c r="J456" i="6" s="1"/>
  <c r="G455" i="6"/>
  <c r="H455" i="6" s="1"/>
  <c r="I455" i="6" s="1"/>
  <c r="J455" i="6" s="1"/>
  <c r="G454" i="6"/>
  <c r="H454" i="6" s="1"/>
  <c r="I454" i="6" s="1"/>
  <c r="J454" i="6" s="1"/>
  <c r="G453" i="6"/>
  <c r="H453" i="6" s="1"/>
  <c r="I453" i="6" s="1"/>
  <c r="J453" i="6" s="1"/>
  <c r="G452" i="6"/>
  <c r="H452" i="6" s="1"/>
  <c r="I452" i="6" s="1"/>
  <c r="J452" i="6" s="1"/>
  <c r="G451" i="6"/>
  <c r="H451" i="6" s="1"/>
  <c r="I451" i="6" s="1"/>
  <c r="J451" i="6" s="1"/>
  <c r="G450" i="6"/>
  <c r="H450" i="6" s="1"/>
  <c r="I450" i="6" s="1"/>
  <c r="J450" i="6" s="1"/>
  <c r="G449" i="6"/>
  <c r="H449" i="6" s="1"/>
  <c r="I449" i="6" s="1"/>
  <c r="J449" i="6" s="1"/>
  <c r="G448" i="6"/>
  <c r="H448" i="6" s="1"/>
  <c r="I448" i="6" s="1"/>
  <c r="J448" i="6" s="1"/>
  <c r="G447" i="6"/>
  <c r="H447" i="6" s="1"/>
  <c r="I447" i="6" s="1"/>
  <c r="J447" i="6" s="1"/>
  <c r="G446" i="6"/>
  <c r="H446" i="6" s="1"/>
  <c r="I446" i="6" s="1"/>
  <c r="J446" i="6" s="1"/>
  <c r="G445" i="6"/>
  <c r="H445" i="6" s="1"/>
  <c r="I445" i="6" s="1"/>
  <c r="J445" i="6" s="1"/>
  <c r="G444" i="6"/>
  <c r="H444" i="6" s="1"/>
  <c r="I444" i="6" s="1"/>
  <c r="J444" i="6" s="1"/>
  <c r="E442" i="6"/>
  <c r="G441" i="6"/>
  <c r="H441" i="6" s="1"/>
  <c r="I441" i="6" s="1"/>
  <c r="J441" i="6" s="1"/>
  <c r="G440" i="6"/>
  <c r="H440" i="6" s="1"/>
  <c r="I440" i="6" s="1"/>
  <c r="J440" i="6" s="1"/>
  <c r="G439" i="6"/>
  <c r="H439" i="6" s="1"/>
  <c r="I439" i="6" s="1"/>
  <c r="J439" i="6" s="1"/>
  <c r="G438" i="6"/>
  <c r="H438" i="6" s="1"/>
  <c r="I438" i="6" s="1"/>
  <c r="J438" i="6" s="1"/>
  <c r="G437" i="6"/>
  <c r="H437" i="6" s="1"/>
  <c r="I437" i="6" s="1"/>
  <c r="J437" i="6" s="1"/>
  <c r="G436" i="6"/>
  <c r="H436" i="6" s="1"/>
  <c r="I436" i="6" s="1"/>
  <c r="J436" i="6" s="1"/>
  <c r="F435" i="6"/>
  <c r="F442" i="6" s="1"/>
  <c r="G434" i="6"/>
  <c r="H434" i="6" s="1"/>
  <c r="I434" i="6" s="1"/>
  <c r="J434" i="6" s="1"/>
  <c r="E428" i="6"/>
  <c r="G427" i="6"/>
  <c r="H427" i="6" s="1"/>
  <c r="I427" i="6" s="1"/>
  <c r="J427" i="6" s="1"/>
  <c r="G426" i="6"/>
  <c r="H426" i="6" s="1"/>
  <c r="I426" i="6" s="1"/>
  <c r="J426" i="6" s="1"/>
  <c r="G425" i="6"/>
  <c r="H425" i="6" s="1"/>
  <c r="I425" i="6" s="1"/>
  <c r="J425" i="6" s="1"/>
  <c r="G424" i="6"/>
  <c r="H424" i="6" s="1"/>
  <c r="I424" i="6" s="1"/>
  <c r="J424" i="6" s="1"/>
  <c r="G423" i="6"/>
  <c r="H423" i="6" s="1"/>
  <c r="I423" i="6" s="1"/>
  <c r="J423" i="6" s="1"/>
  <c r="G422" i="6"/>
  <c r="H422" i="6" s="1"/>
  <c r="I422" i="6" s="1"/>
  <c r="J422" i="6" s="1"/>
  <c r="G421" i="6"/>
  <c r="H421" i="6" s="1"/>
  <c r="I421" i="6" s="1"/>
  <c r="J421" i="6" s="1"/>
  <c r="G420" i="6"/>
  <c r="H420" i="6" s="1"/>
  <c r="I420" i="6" s="1"/>
  <c r="J420" i="6" s="1"/>
  <c r="G419" i="6"/>
  <c r="H419" i="6" s="1"/>
  <c r="I419" i="6" s="1"/>
  <c r="J419" i="6" s="1"/>
  <c r="G418" i="6"/>
  <c r="H418" i="6" s="1"/>
  <c r="I418" i="6" s="1"/>
  <c r="J418" i="6" s="1"/>
  <c r="G416" i="6"/>
  <c r="H416" i="6" s="1"/>
  <c r="I416" i="6" s="1"/>
  <c r="J416" i="6" s="1"/>
  <c r="G415" i="6"/>
  <c r="H415" i="6" s="1"/>
  <c r="I415" i="6" s="1"/>
  <c r="J415" i="6" s="1"/>
  <c r="G414" i="6"/>
  <c r="H414" i="6" s="1"/>
  <c r="I414" i="6" s="1"/>
  <c r="J414" i="6" s="1"/>
  <c r="G413" i="6"/>
  <c r="H413" i="6" s="1"/>
  <c r="I413" i="6" s="1"/>
  <c r="J413" i="6" s="1"/>
  <c r="G412" i="6"/>
  <c r="H412" i="6" s="1"/>
  <c r="I412" i="6" s="1"/>
  <c r="J412" i="6" s="1"/>
  <c r="G411" i="6"/>
  <c r="H411" i="6" s="1"/>
  <c r="I411" i="6" s="1"/>
  <c r="J411" i="6" s="1"/>
  <c r="G410" i="6"/>
  <c r="H410" i="6" s="1"/>
  <c r="I410" i="6" s="1"/>
  <c r="J410" i="6" s="1"/>
  <c r="G409" i="6"/>
  <c r="H409" i="6" s="1"/>
  <c r="I409" i="6" s="1"/>
  <c r="J409" i="6" s="1"/>
  <c r="G408" i="6"/>
  <c r="H408" i="6" s="1"/>
  <c r="I408" i="6" s="1"/>
  <c r="J408" i="6" s="1"/>
  <c r="G407" i="6"/>
  <c r="H407" i="6" s="1"/>
  <c r="I407" i="6" s="1"/>
  <c r="J407" i="6" s="1"/>
  <c r="G406" i="6"/>
  <c r="H406" i="6" s="1"/>
  <c r="I406" i="6" s="1"/>
  <c r="J406" i="6" s="1"/>
  <c r="G405" i="6"/>
  <c r="H405" i="6" s="1"/>
  <c r="I405" i="6" s="1"/>
  <c r="J405" i="6" s="1"/>
  <c r="G404" i="6"/>
  <c r="H404" i="6" s="1"/>
  <c r="I404" i="6" s="1"/>
  <c r="J404" i="6" s="1"/>
  <c r="G403" i="6"/>
  <c r="H403" i="6" s="1"/>
  <c r="I403" i="6" s="1"/>
  <c r="J403" i="6" s="1"/>
  <c r="G402" i="6"/>
  <c r="H402" i="6" s="1"/>
  <c r="I402" i="6" s="1"/>
  <c r="J402" i="6" s="1"/>
  <c r="G401" i="6"/>
  <c r="H401" i="6" s="1"/>
  <c r="I401" i="6" s="1"/>
  <c r="J401" i="6" s="1"/>
  <c r="G400" i="6"/>
  <c r="H400" i="6" s="1"/>
  <c r="I400" i="6" s="1"/>
  <c r="J400" i="6" s="1"/>
  <c r="G399" i="6"/>
  <c r="H399" i="6" s="1"/>
  <c r="I399" i="6" s="1"/>
  <c r="J399" i="6" s="1"/>
  <c r="F398" i="6"/>
  <c r="G398" i="6" s="1"/>
  <c r="H398" i="6" s="1"/>
  <c r="I398" i="6" s="1"/>
  <c r="J398" i="6" s="1"/>
  <c r="F396" i="6"/>
  <c r="E396" i="6"/>
  <c r="G395" i="6"/>
  <c r="H395" i="6" s="1"/>
  <c r="I395" i="6" s="1"/>
  <c r="J395" i="6" s="1"/>
  <c r="G394" i="6"/>
  <c r="H394" i="6" s="1"/>
  <c r="I394" i="6" s="1"/>
  <c r="J394" i="6" s="1"/>
  <c r="G393" i="6"/>
  <c r="I393" i="6" s="1"/>
  <c r="J393" i="6" s="1"/>
  <c r="G392" i="6"/>
  <c r="H392" i="6" s="1"/>
  <c r="I392" i="6" s="1"/>
  <c r="J392" i="6" s="1"/>
  <c r="G391" i="6"/>
  <c r="H391" i="6" s="1"/>
  <c r="I391" i="6" s="1"/>
  <c r="J391" i="6" s="1"/>
  <c r="G390" i="6"/>
  <c r="I390" i="6" s="1"/>
  <c r="J390" i="6" s="1"/>
  <c r="F384" i="6"/>
  <c r="E384" i="6"/>
  <c r="G383" i="6"/>
  <c r="H383" i="6" s="1"/>
  <c r="I383" i="6" s="1"/>
  <c r="J383" i="6" s="1"/>
  <c r="G382" i="6"/>
  <c r="H382" i="6" s="1"/>
  <c r="I382" i="6" s="1"/>
  <c r="J382" i="6" s="1"/>
  <c r="G381" i="6"/>
  <c r="H381" i="6" s="1"/>
  <c r="I381" i="6" s="1"/>
  <c r="J381" i="6" s="1"/>
  <c r="G380" i="6"/>
  <c r="I380" i="6" s="1"/>
  <c r="J380" i="6" s="1"/>
  <c r="G379" i="6"/>
  <c r="H379" i="6" s="1"/>
  <c r="I379" i="6" s="1"/>
  <c r="J379" i="6" s="1"/>
  <c r="G378" i="6"/>
  <c r="H378" i="6" s="1"/>
  <c r="I378" i="6" s="1"/>
  <c r="J378" i="6" s="1"/>
  <c r="G377" i="6"/>
  <c r="H377" i="6" s="1"/>
  <c r="I377" i="6" s="1"/>
  <c r="J377" i="6" s="1"/>
  <c r="G376" i="6"/>
  <c r="H376" i="6" s="1"/>
  <c r="I376" i="6" s="1"/>
  <c r="J376" i="6" s="1"/>
  <c r="G374" i="6"/>
  <c r="H374" i="6" s="1"/>
  <c r="I374" i="6" s="1"/>
  <c r="J374" i="6" s="1"/>
  <c r="G373" i="6"/>
  <c r="H373" i="6" s="1"/>
  <c r="I373" i="6" s="1"/>
  <c r="J373" i="6" s="1"/>
  <c r="G372" i="6"/>
  <c r="H372" i="6" s="1"/>
  <c r="I372" i="6" s="1"/>
  <c r="J372" i="6" s="1"/>
  <c r="G371" i="6"/>
  <c r="H371" i="6" s="1"/>
  <c r="I371" i="6" s="1"/>
  <c r="J371" i="6" s="1"/>
  <c r="G370" i="6"/>
  <c r="H370" i="6" s="1"/>
  <c r="I370" i="6" s="1"/>
  <c r="J370" i="6" s="1"/>
  <c r="G369" i="6"/>
  <c r="H369" i="6" s="1"/>
  <c r="I369" i="6" s="1"/>
  <c r="J369" i="6" s="1"/>
  <c r="G368" i="6"/>
  <c r="H368" i="6" s="1"/>
  <c r="I368" i="6" s="1"/>
  <c r="J368" i="6" s="1"/>
  <c r="G367" i="6"/>
  <c r="H367" i="6" s="1"/>
  <c r="I367" i="6" s="1"/>
  <c r="J367" i="6" s="1"/>
  <c r="G366" i="6"/>
  <c r="H366" i="6" s="1"/>
  <c r="I366" i="6" s="1"/>
  <c r="J366" i="6" s="1"/>
  <c r="G365" i="6"/>
  <c r="H365" i="6" s="1"/>
  <c r="I365" i="6" s="1"/>
  <c r="J365" i="6" s="1"/>
  <c r="G364" i="6"/>
  <c r="H364" i="6" s="1"/>
  <c r="I364" i="6" s="1"/>
  <c r="J364" i="6" s="1"/>
  <c r="G363" i="6"/>
  <c r="H363" i="6" s="1"/>
  <c r="I363" i="6" s="1"/>
  <c r="J363" i="6" s="1"/>
  <c r="G362" i="6"/>
  <c r="H362" i="6" s="1"/>
  <c r="I362" i="6" s="1"/>
  <c r="J362" i="6" s="1"/>
  <c r="F360" i="6"/>
  <c r="E360" i="6"/>
  <c r="G359" i="6"/>
  <c r="H359" i="6" s="1"/>
  <c r="I359" i="6" s="1"/>
  <c r="J359" i="6" s="1"/>
  <c r="G358" i="6"/>
  <c r="H358" i="6" s="1"/>
  <c r="I358" i="6" s="1"/>
  <c r="J358" i="6" s="1"/>
  <c r="G357" i="6"/>
  <c r="I357" i="6" s="1"/>
  <c r="J357" i="6" s="1"/>
  <c r="G356" i="6"/>
  <c r="H356" i="6" s="1"/>
  <c r="I356" i="6" s="1"/>
  <c r="J356" i="6" s="1"/>
  <c r="E350" i="6"/>
  <c r="G349" i="6"/>
  <c r="H349" i="6" s="1"/>
  <c r="I349" i="6" s="1"/>
  <c r="J349" i="6" s="1"/>
  <c r="G348" i="6"/>
  <c r="H348" i="6" s="1"/>
  <c r="I348" i="6" s="1"/>
  <c r="J348" i="6" s="1"/>
  <c r="G347" i="6"/>
  <c r="H347" i="6" s="1"/>
  <c r="I347" i="6" s="1"/>
  <c r="J347" i="6" s="1"/>
  <c r="G346" i="6"/>
  <c r="H346" i="6" s="1"/>
  <c r="I346" i="6" s="1"/>
  <c r="J346" i="6" s="1"/>
  <c r="G345" i="6"/>
  <c r="H345" i="6" s="1"/>
  <c r="I345" i="6" s="1"/>
  <c r="J345" i="6" s="1"/>
  <c r="F344" i="6"/>
  <c r="G344" i="6" s="1"/>
  <c r="I344" i="6" s="1"/>
  <c r="J344" i="6" s="1"/>
  <c r="G343" i="6"/>
  <c r="H343" i="6" s="1"/>
  <c r="I343" i="6" s="1"/>
  <c r="J343" i="6" s="1"/>
  <c r="G342" i="6"/>
  <c r="H342" i="6" s="1"/>
  <c r="I342" i="6" s="1"/>
  <c r="J342" i="6" s="1"/>
  <c r="G341" i="6"/>
  <c r="H341" i="6" s="1"/>
  <c r="I341" i="6" s="1"/>
  <c r="J341" i="6" s="1"/>
  <c r="F340" i="6"/>
  <c r="F350" i="6" s="1"/>
  <c r="G339" i="6"/>
  <c r="H339" i="6" s="1"/>
  <c r="I339" i="6" s="1"/>
  <c r="J339" i="6" s="1"/>
  <c r="G338" i="6"/>
  <c r="H338" i="6" s="1"/>
  <c r="I338" i="6" s="1"/>
  <c r="J338" i="6" s="1"/>
  <c r="G337" i="6"/>
  <c r="H337" i="6" s="1"/>
  <c r="I337" i="6" s="1"/>
  <c r="J337" i="6" s="1"/>
  <c r="G336" i="6"/>
  <c r="H336" i="6" s="1"/>
  <c r="I336" i="6" s="1"/>
  <c r="J336" i="6" s="1"/>
  <c r="G335" i="6"/>
  <c r="H335" i="6" s="1"/>
  <c r="I335" i="6" s="1"/>
  <c r="J335" i="6" s="1"/>
  <c r="G334" i="6"/>
  <c r="H334" i="6" s="1"/>
  <c r="I334" i="6" s="1"/>
  <c r="J334" i="6" s="1"/>
  <c r="F332" i="6"/>
  <c r="E332" i="6"/>
  <c r="G331" i="6"/>
  <c r="H331" i="6" s="1"/>
  <c r="I331" i="6" s="1"/>
  <c r="J331" i="6" s="1"/>
  <c r="G330" i="6"/>
  <c r="H330" i="6" s="1"/>
  <c r="I330" i="6" s="1"/>
  <c r="J330" i="6" s="1"/>
  <c r="G329" i="6"/>
  <c r="I329" i="6" s="1"/>
  <c r="J329" i="6" s="1"/>
  <c r="G328" i="6"/>
  <c r="I328" i="6" s="1"/>
  <c r="J328" i="6" s="1"/>
  <c r="G327" i="6"/>
  <c r="I327" i="6" s="1"/>
  <c r="J327" i="6" s="1"/>
  <c r="E321" i="6"/>
  <c r="G320" i="6"/>
  <c r="H320" i="6" s="1"/>
  <c r="I320" i="6" s="1"/>
  <c r="J320" i="6" s="1"/>
  <c r="G319" i="6"/>
  <c r="H319" i="6" s="1"/>
  <c r="I319" i="6" s="1"/>
  <c r="J319" i="6" s="1"/>
  <c r="G318" i="6"/>
  <c r="H318" i="6" s="1"/>
  <c r="I318" i="6" s="1"/>
  <c r="J318" i="6" s="1"/>
  <c r="G317" i="6"/>
  <c r="I317" i="6" s="1"/>
  <c r="J317" i="6" s="1"/>
  <c r="G316" i="6"/>
  <c r="H316" i="6" s="1"/>
  <c r="I316" i="6" s="1"/>
  <c r="J316" i="6" s="1"/>
  <c r="G315" i="6"/>
  <c r="H315" i="6" s="1"/>
  <c r="I315" i="6" s="1"/>
  <c r="J315" i="6" s="1"/>
  <c r="G314" i="6"/>
  <c r="H314" i="6" s="1"/>
  <c r="I314" i="6" s="1"/>
  <c r="J314" i="6" s="1"/>
  <c r="G313" i="6"/>
  <c r="H313" i="6" s="1"/>
  <c r="I313" i="6" s="1"/>
  <c r="J313" i="6" s="1"/>
  <c r="G312" i="6"/>
  <c r="H312" i="6" s="1"/>
  <c r="I312" i="6" s="1"/>
  <c r="J312" i="6" s="1"/>
  <c r="G311" i="6"/>
  <c r="H311" i="6" s="1"/>
  <c r="I311" i="6" s="1"/>
  <c r="J311" i="6" s="1"/>
  <c r="G310" i="6"/>
  <c r="H310" i="6" s="1"/>
  <c r="I310" i="6" s="1"/>
  <c r="J310" i="6" s="1"/>
  <c r="G309" i="6"/>
  <c r="H309" i="6" s="1"/>
  <c r="I309" i="6" s="1"/>
  <c r="J309" i="6" s="1"/>
  <c r="G308" i="6"/>
  <c r="H308" i="6" s="1"/>
  <c r="I308" i="6" s="1"/>
  <c r="J308" i="6" s="1"/>
  <c r="G307" i="6"/>
  <c r="H307" i="6" s="1"/>
  <c r="I307" i="6" s="1"/>
  <c r="J307" i="6" s="1"/>
  <c r="G306" i="6"/>
  <c r="H306" i="6" s="1"/>
  <c r="I306" i="6" s="1"/>
  <c r="J306" i="6" s="1"/>
  <c r="F305" i="6"/>
  <c r="G305" i="6" s="1"/>
  <c r="H305" i="6" s="1"/>
  <c r="I305" i="6" s="1"/>
  <c r="J305" i="6" s="1"/>
  <c r="E303" i="6"/>
  <c r="G302" i="6"/>
  <c r="H302" i="6" s="1"/>
  <c r="I302" i="6" s="1"/>
  <c r="J302" i="6" s="1"/>
  <c r="G301" i="6"/>
  <c r="H301" i="6" s="1"/>
  <c r="I301" i="6" s="1"/>
  <c r="J301" i="6" s="1"/>
  <c r="G300" i="6"/>
  <c r="H300" i="6" s="1"/>
  <c r="I300" i="6" s="1"/>
  <c r="J300" i="6" s="1"/>
  <c r="F299" i="6"/>
  <c r="G299" i="6" s="1"/>
  <c r="H299" i="6" s="1"/>
  <c r="I299" i="6" s="1"/>
  <c r="J299" i="6" s="1"/>
  <c r="E293" i="6"/>
  <c r="G292" i="6"/>
  <c r="H292" i="6" s="1"/>
  <c r="I292" i="6" s="1"/>
  <c r="J292" i="6" s="1"/>
  <c r="G291" i="6"/>
  <c r="H291" i="6" s="1"/>
  <c r="I291" i="6" s="1"/>
  <c r="J291" i="6" s="1"/>
  <c r="G290" i="6"/>
  <c r="H290" i="6" s="1"/>
  <c r="I290" i="6" s="1"/>
  <c r="J290" i="6" s="1"/>
  <c r="G289" i="6"/>
  <c r="H289" i="6" s="1"/>
  <c r="I289" i="6" s="1"/>
  <c r="J289" i="6" s="1"/>
  <c r="G288" i="6"/>
  <c r="H288" i="6" s="1"/>
  <c r="I288" i="6" s="1"/>
  <c r="J288" i="6" s="1"/>
  <c r="G287" i="6"/>
  <c r="H287" i="6" s="1"/>
  <c r="I287" i="6" s="1"/>
  <c r="J287" i="6" s="1"/>
  <c r="G286" i="6"/>
  <c r="H286" i="6" s="1"/>
  <c r="I286" i="6" s="1"/>
  <c r="J286" i="6" s="1"/>
  <c r="G285" i="6"/>
  <c r="H285" i="6" s="1"/>
  <c r="I285" i="6" s="1"/>
  <c r="J285" i="6" s="1"/>
  <c r="G284" i="6"/>
  <c r="H284" i="6" s="1"/>
  <c r="I284" i="6" s="1"/>
  <c r="J284" i="6" s="1"/>
  <c r="G283" i="6"/>
  <c r="H283" i="6" s="1"/>
  <c r="I283" i="6" s="1"/>
  <c r="J283" i="6" s="1"/>
  <c r="G282" i="6"/>
  <c r="H282" i="6" s="1"/>
  <c r="I282" i="6" s="1"/>
  <c r="J282" i="6" s="1"/>
  <c r="F281" i="6"/>
  <c r="G281" i="6" s="1"/>
  <c r="I281" i="6" s="1"/>
  <c r="J281" i="6" s="1"/>
  <c r="G280" i="6"/>
  <c r="H280" i="6" s="1"/>
  <c r="I280" i="6" s="1"/>
  <c r="J280" i="6" s="1"/>
  <c r="G279" i="6"/>
  <c r="H279" i="6" s="1"/>
  <c r="I279" i="6" s="1"/>
  <c r="J279" i="6" s="1"/>
  <c r="G278" i="6"/>
  <c r="H278" i="6" s="1"/>
  <c r="I278" i="6" s="1"/>
  <c r="J278" i="6" s="1"/>
  <c r="G277" i="6"/>
  <c r="H277" i="6" s="1"/>
  <c r="I277" i="6" s="1"/>
  <c r="J277" i="6" s="1"/>
  <c r="G276" i="6"/>
  <c r="H276" i="6" s="1"/>
  <c r="I276" i="6" s="1"/>
  <c r="J276" i="6" s="1"/>
  <c r="G275" i="6"/>
  <c r="H275" i="6" s="1"/>
  <c r="I275" i="6" s="1"/>
  <c r="J275" i="6" s="1"/>
  <c r="G274" i="6"/>
  <c r="H274" i="6" s="1"/>
  <c r="I274" i="6" s="1"/>
  <c r="J274" i="6" s="1"/>
  <c r="G273" i="6"/>
  <c r="H273" i="6" s="1"/>
  <c r="I273" i="6" s="1"/>
  <c r="J273" i="6" s="1"/>
  <c r="G272" i="6"/>
  <c r="H272" i="6" s="1"/>
  <c r="I272" i="6" s="1"/>
  <c r="J272" i="6" s="1"/>
  <c r="G271" i="6"/>
  <c r="H271" i="6" s="1"/>
  <c r="I271" i="6" s="1"/>
  <c r="J271" i="6" s="1"/>
  <c r="G270" i="6"/>
  <c r="H270" i="6" s="1"/>
  <c r="I270" i="6" s="1"/>
  <c r="J270" i="6" s="1"/>
  <c r="G269" i="6"/>
  <c r="H269" i="6" s="1"/>
  <c r="I269" i="6" s="1"/>
  <c r="J269" i="6" s="1"/>
  <c r="G268" i="6"/>
  <c r="H268" i="6" s="1"/>
  <c r="I268" i="6" s="1"/>
  <c r="J268" i="6" s="1"/>
  <c r="E266" i="6"/>
  <c r="G265" i="6"/>
  <c r="H265" i="6" s="1"/>
  <c r="I265" i="6" s="1"/>
  <c r="J265" i="6" s="1"/>
  <c r="G264" i="6"/>
  <c r="H264" i="6" s="1"/>
  <c r="I264" i="6" s="1"/>
  <c r="J264" i="6" s="1"/>
  <c r="G262" i="6"/>
  <c r="I262" i="6" s="1"/>
  <c r="J262" i="6" s="1"/>
  <c r="G261" i="6"/>
  <c r="H261" i="6" s="1"/>
  <c r="I261" i="6" s="1"/>
  <c r="J261" i="6" s="1"/>
  <c r="G260" i="6"/>
  <c r="I260" i="6" s="1"/>
  <c r="J260" i="6" s="1"/>
  <c r="G259" i="6"/>
  <c r="H259" i="6" s="1"/>
  <c r="I259" i="6" s="1"/>
  <c r="J259" i="6" s="1"/>
  <c r="F258" i="6"/>
  <c r="F266" i="6" s="1"/>
  <c r="E252" i="6"/>
  <c r="G251" i="6"/>
  <c r="H251" i="6" s="1"/>
  <c r="I251" i="6" s="1"/>
  <c r="J251" i="6" s="1"/>
  <c r="G250" i="6"/>
  <c r="H250" i="6" s="1"/>
  <c r="I250" i="6" s="1"/>
  <c r="J250" i="6" s="1"/>
  <c r="G249" i="6"/>
  <c r="H249" i="6" s="1"/>
  <c r="I249" i="6" s="1"/>
  <c r="J249" i="6" s="1"/>
  <c r="G248" i="6"/>
  <c r="H248" i="6" s="1"/>
  <c r="I248" i="6" s="1"/>
  <c r="J248" i="6" s="1"/>
  <c r="G247" i="6"/>
  <c r="H247" i="6" s="1"/>
  <c r="I247" i="6" s="1"/>
  <c r="J247" i="6" s="1"/>
  <c r="G246" i="6"/>
  <c r="H246" i="6" s="1"/>
  <c r="I246" i="6" s="1"/>
  <c r="J246" i="6" s="1"/>
  <c r="G245" i="6"/>
  <c r="H245" i="6" s="1"/>
  <c r="I245" i="6" s="1"/>
  <c r="J245" i="6" s="1"/>
  <c r="G244" i="6"/>
  <c r="H244" i="6" s="1"/>
  <c r="I244" i="6" s="1"/>
  <c r="J244" i="6" s="1"/>
  <c r="G243" i="6"/>
  <c r="H243" i="6" s="1"/>
  <c r="I243" i="6" s="1"/>
  <c r="J243" i="6" s="1"/>
  <c r="G242" i="6"/>
  <c r="H242" i="6" s="1"/>
  <c r="I242" i="6" s="1"/>
  <c r="J242" i="6" s="1"/>
  <c r="G241" i="6"/>
  <c r="H241" i="6" s="1"/>
  <c r="I241" i="6" s="1"/>
  <c r="J241" i="6" s="1"/>
  <c r="F240" i="6"/>
  <c r="G240" i="6" s="1"/>
  <c r="H240" i="6" s="1"/>
  <c r="I240" i="6" s="1"/>
  <c r="J240" i="6" s="1"/>
  <c r="G239" i="6"/>
  <c r="H239" i="6" s="1"/>
  <c r="I239" i="6" s="1"/>
  <c r="J239" i="6" s="1"/>
  <c r="G238" i="6"/>
  <c r="H238" i="6" s="1"/>
  <c r="I238" i="6" s="1"/>
  <c r="J238" i="6" s="1"/>
  <c r="G237" i="6"/>
  <c r="H237" i="6" s="1"/>
  <c r="I237" i="6" s="1"/>
  <c r="J237" i="6" s="1"/>
  <c r="F236" i="6"/>
  <c r="G236" i="6" s="1"/>
  <c r="H236" i="6" s="1"/>
  <c r="I236" i="6" s="1"/>
  <c r="J236" i="6" s="1"/>
  <c r="G235" i="6"/>
  <c r="H235" i="6" s="1"/>
  <c r="I235" i="6" s="1"/>
  <c r="J235" i="6" s="1"/>
  <c r="G234" i="6"/>
  <c r="H234" i="6" s="1"/>
  <c r="I234" i="6" s="1"/>
  <c r="J234" i="6" s="1"/>
  <c r="G233" i="6"/>
  <c r="H233" i="6" s="1"/>
  <c r="I233" i="6" s="1"/>
  <c r="J233" i="6" s="1"/>
  <c r="G232" i="6"/>
  <c r="H232" i="6" s="1"/>
  <c r="I232" i="6" s="1"/>
  <c r="J232" i="6" s="1"/>
  <c r="F231" i="6"/>
  <c r="G231" i="6" s="1"/>
  <c r="H231" i="6" s="1"/>
  <c r="I231" i="6" s="1"/>
  <c r="J231" i="6" s="1"/>
  <c r="G230" i="6"/>
  <c r="H230" i="6" s="1"/>
  <c r="I230" i="6" s="1"/>
  <c r="J230" i="6" s="1"/>
  <c r="G229" i="6"/>
  <c r="H229" i="6" s="1"/>
  <c r="I229" i="6" s="1"/>
  <c r="J229" i="6" s="1"/>
  <c r="G228" i="6"/>
  <c r="H228" i="6" s="1"/>
  <c r="I228" i="6" s="1"/>
  <c r="J228" i="6" s="1"/>
  <c r="G227" i="6"/>
  <c r="H227" i="6" s="1"/>
  <c r="I227" i="6" s="1"/>
  <c r="J227" i="6" s="1"/>
  <c r="G226" i="6"/>
  <c r="H226" i="6" s="1"/>
  <c r="I226" i="6" s="1"/>
  <c r="J226" i="6" s="1"/>
  <c r="G225" i="6"/>
  <c r="H225" i="6" s="1"/>
  <c r="I225" i="6" s="1"/>
  <c r="J225" i="6" s="1"/>
  <c r="G224" i="6"/>
  <c r="H224" i="6" s="1"/>
  <c r="I224" i="6" s="1"/>
  <c r="J224" i="6" s="1"/>
  <c r="G223" i="6"/>
  <c r="H223" i="6" s="1"/>
  <c r="I223" i="6" s="1"/>
  <c r="J223" i="6" s="1"/>
  <c r="G222" i="6"/>
  <c r="H222" i="6" s="1"/>
  <c r="I222" i="6" s="1"/>
  <c r="J222" i="6" s="1"/>
  <c r="G221" i="6"/>
  <c r="H221" i="6" s="1"/>
  <c r="I221" i="6" s="1"/>
  <c r="J221" i="6" s="1"/>
  <c r="G220" i="6"/>
  <c r="H220" i="6" s="1"/>
  <c r="I220" i="6" s="1"/>
  <c r="J220" i="6" s="1"/>
  <c r="G219" i="6"/>
  <c r="H219" i="6" s="1"/>
  <c r="I219" i="6" s="1"/>
  <c r="J219" i="6" s="1"/>
  <c r="G218" i="6"/>
  <c r="H218" i="6" s="1"/>
  <c r="I218" i="6" s="1"/>
  <c r="J218" i="6" s="1"/>
  <c r="G217" i="6"/>
  <c r="H217" i="6" s="1"/>
  <c r="I217" i="6" s="1"/>
  <c r="J217" i="6" s="1"/>
  <c r="G216" i="6"/>
  <c r="H216" i="6" s="1"/>
  <c r="I216" i="6" s="1"/>
  <c r="J216" i="6" s="1"/>
  <c r="G215" i="6"/>
  <c r="H215" i="6" s="1"/>
  <c r="I215" i="6" s="1"/>
  <c r="J215" i="6" s="1"/>
  <c r="G214" i="6"/>
  <c r="H214" i="6" s="1"/>
  <c r="I214" i="6" s="1"/>
  <c r="J214" i="6" s="1"/>
  <c r="F213" i="6"/>
  <c r="F211" i="6"/>
  <c r="E211" i="6"/>
  <c r="G210" i="6"/>
  <c r="H210" i="6" s="1"/>
  <c r="I210" i="6" s="1"/>
  <c r="J210" i="6" s="1"/>
  <c r="G209" i="6"/>
  <c r="H209" i="6" s="1"/>
  <c r="I209" i="6" s="1"/>
  <c r="J209" i="6" s="1"/>
  <c r="G208" i="6"/>
  <c r="H208" i="6" s="1"/>
  <c r="I208" i="6" s="1"/>
  <c r="J208" i="6" s="1"/>
  <c r="G207" i="6"/>
  <c r="H207" i="6" s="1"/>
  <c r="I207" i="6" s="1"/>
  <c r="J207" i="6" s="1"/>
  <c r="G206" i="6"/>
  <c r="H206" i="6" s="1"/>
  <c r="I206" i="6" s="1"/>
  <c r="J206" i="6" s="1"/>
  <c r="G205" i="6"/>
  <c r="H205" i="6" s="1"/>
  <c r="I205" i="6" s="1"/>
  <c r="J205" i="6" s="1"/>
  <c r="F199" i="6"/>
  <c r="E199" i="6"/>
  <c r="G198" i="6"/>
  <c r="H198" i="6" s="1"/>
  <c r="I198" i="6" s="1"/>
  <c r="J198" i="6" s="1"/>
  <c r="G197" i="6"/>
  <c r="H197" i="6" s="1"/>
  <c r="I197" i="6" s="1"/>
  <c r="J197" i="6" s="1"/>
  <c r="G196" i="6"/>
  <c r="H196" i="6" s="1"/>
  <c r="I196" i="6" s="1"/>
  <c r="J196" i="6" s="1"/>
  <c r="G195" i="6"/>
  <c r="H195" i="6" s="1"/>
  <c r="I195" i="6" s="1"/>
  <c r="J195" i="6" s="1"/>
  <c r="G194" i="6"/>
  <c r="H194" i="6" s="1"/>
  <c r="I194" i="6" s="1"/>
  <c r="J194" i="6" s="1"/>
  <c r="G192" i="6"/>
  <c r="H192" i="6" s="1"/>
  <c r="I192" i="6" s="1"/>
  <c r="J192" i="6" s="1"/>
  <c r="G191" i="6"/>
  <c r="H191" i="6" s="1"/>
  <c r="I191" i="6" s="1"/>
  <c r="J191" i="6" s="1"/>
  <c r="G190" i="6"/>
  <c r="H190" i="6" s="1"/>
  <c r="I190" i="6" s="1"/>
  <c r="J190" i="6" s="1"/>
  <c r="G189" i="6"/>
  <c r="H189" i="6" s="1"/>
  <c r="I189" i="6" s="1"/>
  <c r="J189" i="6" s="1"/>
  <c r="G188" i="6"/>
  <c r="H188" i="6" s="1"/>
  <c r="I188" i="6" s="1"/>
  <c r="J188" i="6" s="1"/>
  <c r="G187" i="6"/>
  <c r="H187" i="6" s="1"/>
  <c r="I187" i="6" s="1"/>
  <c r="J187" i="6" s="1"/>
  <c r="E185" i="6"/>
  <c r="G184" i="6"/>
  <c r="H184" i="6" s="1"/>
  <c r="I184" i="6" s="1"/>
  <c r="J184" i="6" s="1"/>
  <c r="G183" i="6"/>
  <c r="H183" i="6" s="1"/>
  <c r="I183" i="6" s="1"/>
  <c r="J183" i="6" s="1"/>
  <c r="G182" i="6"/>
  <c r="H182" i="6" s="1"/>
  <c r="I182" i="6" s="1"/>
  <c r="J182" i="6" s="1"/>
  <c r="G181" i="6"/>
  <c r="H181" i="6" s="1"/>
  <c r="I181" i="6" s="1"/>
  <c r="J181" i="6" s="1"/>
  <c r="F180" i="6"/>
  <c r="G180" i="6" s="1"/>
  <c r="H180" i="6" s="1"/>
  <c r="I180" i="6" s="1"/>
  <c r="J180" i="6" s="1"/>
  <c r="G179" i="6"/>
  <c r="H179" i="6" s="1"/>
  <c r="I179" i="6" s="1"/>
  <c r="J179" i="6" s="1"/>
  <c r="G178" i="6"/>
  <c r="H178" i="6" s="1"/>
  <c r="I178" i="6" s="1"/>
  <c r="J178" i="6" s="1"/>
  <c r="F177" i="6"/>
  <c r="G177" i="6" s="1"/>
  <c r="H177" i="6" s="1"/>
  <c r="I177" i="6" s="1"/>
  <c r="J177" i="6" s="1"/>
  <c r="F176" i="6"/>
  <c r="G176" i="6" s="1"/>
  <c r="H176" i="6" s="1"/>
  <c r="I176" i="6" s="1"/>
  <c r="J176" i="6" s="1"/>
  <c r="G175" i="6"/>
  <c r="H175" i="6" s="1"/>
  <c r="F174" i="6"/>
  <c r="G174" i="6" s="1"/>
  <c r="H174" i="6" s="1"/>
  <c r="I174" i="6" s="1"/>
  <c r="J174" i="6" s="1"/>
  <c r="E168" i="6"/>
  <c r="G167" i="6"/>
  <c r="H167" i="6" s="1"/>
  <c r="I167" i="6" s="1"/>
  <c r="J167" i="6" s="1"/>
  <c r="G166" i="6"/>
  <c r="H166" i="6" s="1"/>
  <c r="I166" i="6" s="1"/>
  <c r="J166" i="6" s="1"/>
  <c r="G165" i="6"/>
  <c r="H165" i="6" s="1"/>
  <c r="I165" i="6" s="1"/>
  <c r="J165" i="6" s="1"/>
  <c r="G164" i="6"/>
  <c r="H164" i="6" s="1"/>
  <c r="I164" i="6" s="1"/>
  <c r="J164" i="6" s="1"/>
  <c r="G163" i="6"/>
  <c r="H163" i="6" s="1"/>
  <c r="I163" i="6" s="1"/>
  <c r="J163" i="6" s="1"/>
  <c r="G162" i="6"/>
  <c r="H162" i="6" s="1"/>
  <c r="I162" i="6" s="1"/>
  <c r="J162" i="6" s="1"/>
  <c r="G160" i="6"/>
  <c r="I160" i="6" s="1"/>
  <c r="J160" i="6" s="1"/>
  <c r="F159" i="6"/>
  <c r="G159" i="6" s="1"/>
  <c r="H159" i="6" s="1"/>
  <c r="I159" i="6" s="1"/>
  <c r="J159" i="6" s="1"/>
  <c r="G158" i="6"/>
  <c r="H158" i="6" s="1"/>
  <c r="I158" i="6" s="1"/>
  <c r="J158" i="6" s="1"/>
  <c r="F157" i="6"/>
  <c r="G157" i="6" s="1"/>
  <c r="H157" i="6" s="1"/>
  <c r="I157" i="6" s="1"/>
  <c r="J157" i="6" s="1"/>
  <c r="F156" i="6"/>
  <c r="G156" i="6" s="1"/>
  <c r="H156" i="6" s="1"/>
  <c r="I156" i="6" s="1"/>
  <c r="J156" i="6" s="1"/>
  <c r="G155" i="6"/>
  <c r="H155" i="6" s="1"/>
  <c r="I155" i="6" s="1"/>
  <c r="J155" i="6" s="1"/>
  <c r="F154" i="6"/>
  <c r="G154" i="6" s="1"/>
  <c r="H154" i="6" s="1"/>
  <c r="I154" i="6" s="1"/>
  <c r="J154" i="6" s="1"/>
  <c r="G153" i="6"/>
  <c r="H153" i="6" s="1"/>
  <c r="I153" i="6" s="1"/>
  <c r="J153" i="6" s="1"/>
  <c r="G152" i="6"/>
  <c r="H152" i="6" s="1"/>
  <c r="I152" i="6" s="1"/>
  <c r="J152" i="6" s="1"/>
  <c r="G151" i="6"/>
  <c r="H151" i="6" s="1"/>
  <c r="I151" i="6" s="1"/>
  <c r="J151" i="6" s="1"/>
  <c r="G150" i="6"/>
  <c r="H150" i="6" s="1"/>
  <c r="I150" i="6" s="1"/>
  <c r="J150" i="6" s="1"/>
  <c r="G149" i="6"/>
  <c r="H149" i="6" s="1"/>
  <c r="I149" i="6" s="1"/>
  <c r="J149" i="6" s="1"/>
  <c r="G148" i="6"/>
  <c r="H148" i="6" s="1"/>
  <c r="I148" i="6" s="1"/>
  <c r="J148" i="6" s="1"/>
  <c r="G147" i="6"/>
  <c r="H147" i="6" s="1"/>
  <c r="I147" i="6" s="1"/>
  <c r="J147" i="6" s="1"/>
  <c r="G146" i="6"/>
  <c r="H146" i="6" s="1"/>
  <c r="I146" i="6" s="1"/>
  <c r="J146" i="6" s="1"/>
  <c r="G145" i="6"/>
  <c r="H145" i="6" s="1"/>
  <c r="I145" i="6" s="1"/>
  <c r="J145" i="6" s="1"/>
  <c r="G144" i="6"/>
  <c r="H144" i="6" s="1"/>
  <c r="I144" i="6" s="1"/>
  <c r="J144" i="6" s="1"/>
  <c r="G143" i="6"/>
  <c r="H143" i="6" s="1"/>
  <c r="I143" i="6" s="1"/>
  <c r="J143" i="6" s="1"/>
  <c r="G142" i="6"/>
  <c r="H142" i="6" s="1"/>
  <c r="I142" i="6" s="1"/>
  <c r="J142" i="6" s="1"/>
  <c r="G141" i="6"/>
  <c r="H141" i="6" s="1"/>
  <c r="I141" i="6" s="1"/>
  <c r="J141" i="6" s="1"/>
  <c r="F140" i="6"/>
  <c r="G140" i="6" s="1"/>
  <c r="H140" i="6" s="1"/>
  <c r="I140" i="6" s="1"/>
  <c r="J140" i="6" s="1"/>
  <c r="G139" i="6"/>
  <c r="H139" i="6" s="1"/>
  <c r="I139" i="6" s="1"/>
  <c r="J139" i="6" s="1"/>
  <c r="G138" i="6"/>
  <c r="H138" i="6" s="1"/>
  <c r="I138" i="6" s="1"/>
  <c r="J138" i="6" s="1"/>
  <c r="G137" i="6"/>
  <c r="H137" i="6" s="1"/>
  <c r="I137" i="6" s="1"/>
  <c r="J137" i="6" s="1"/>
  <c r="F136" i="6"/>
  <c r="G136" i="6" s="1"/>
  <c r="H136" i="6" s="1"/>
  <c r="I136" i="6" s="1"/>
  <c r="J136" i="6" s="1"/>
  <c r="F135" i="6"/>
  <c r="G135" i="6" s="1"/>
  <c r="H135" i="6" s="1"/>
  <c r="I135" i="6" s="1"/>
  <c r="J135" i="6" s="1"/>
  <c r="F134" i="6"/>
  <c r="G134" i="6" s="1"/>
  <c r="H134" i="6" s="1"/>
  <c r="I134" i="6" s="1"/>
  <c r="J134" i="6" s="1"/>
  <c r="G133" i="6"/>
  <c r="H133" i="6" s="1"/>
  <c r="I133" i="6" s="1"/>
  <c r="J133" i="6" s="1"/>
  <c r="G132" i="6"/>
  <c r="H132" i="6" s="1"/>
  <c r="I132" i="6" s="1"/>
  <c r="J132" i="6" s="1"/>
  <c r="G131" i="6"/>
  <c r="H131" i="6" s="1"/>
  <c r="I131" i="6" s="1"/>
  <c r="J131" i="6" s="1"/>
  <c r="G130" i="6"/>
  <c r="H130" i="6" s="1"/>
  <c r="I130" i="6" s="1"/>
  <c r="J130" i="6" s="1"/>
  <c r="G129" i="6"/>
  <c r="H129" i="6" s="1"/>
  <c r="I129" i="6" s="1"/>
  <c r="J129" i="6" s="1"/>
  <c r="G128" i="6"/>
  <c r="H128" i="6" s="1"/>
  <c r="I128" i="6" s="1"/>
  <c r="J128" i="6" s="1"/>
  <c r="G127" i="6"/>
  <c r="H127" i="6" s="1"/>
  <c r="I127" i="6" s="1"/>
  <c r="J127" i="6" s="1"/>
  <c r="G126" i="6"/>
  <c r="H126" i="6" s="1"/>
  <c r="I126" i="6" s="1"/>
  <c r="J126" i="6" s="1"/>
  <c r="G125" i="6"/>
  <c r="H125" i="6" s="1"/>
  <c r="I125" i="6" s="1"/>
  <c r="J125" i="6" s="1"/>
  <c r="G124" i="6"/>
  <c r="H124" i="6" s="1"/>
  <c r="I124" i="6" s="1"/>
  <c r="J124" i="6" s="1"/>
  <c r="G123" i="6"/>
  <c r="H123" i="6" s="1"/>
  <c r="I123" i="6" s="1"/>
  <c r="J123" i="6" s="1"/>
  <c r="G122" i="6"/>
  <c r="H122" i="6" s="1"/>
  <c r="I122" i="6" s="1"/>
  <c r="J122" i="6" s="1"/>
  <c r="G121" i="6"/>
  <c r="H121" i="6" s="1"/>
  <c r="I121" i="6" s="1"/>
  <c r="J121" i="6" s="1"/>
  <c r="G120" i="6"/>
  <c r="H120" i="6" s="1"/>
  <c r="I120" i="6" s="1"/>
  <c r="J120" i="6" s="1"/>
  <c r="G119" i="6"/>
  <c r="H119" i="6" s="1"/>
  <c r="I119" i="6" s="1"/>
  <c r="J119" i="6" s="1"/>
  <c r="G118" i="6"/>
  <c r="H118" i="6" s="1"/>
  <c r="I118" i="6" s="1"/>
  <c r="J118" i="6" s="1"/>
  <c r="G117" i="6"/>
  <c r="H117" i="6" s="1"/>
  <c r="I117" i="6" s="1"/>
  <c r="J117" i="6" s="1"/>
  <c r="G116" i="6"/>
  <c r="H116" i="6" s="1"/>
  <c r="I116" i="6" s="1"/>
  <c r="J116" i="6" s="1"/>
  <c r="G115" i="6"/>
  <c r="H115" i="6" s="1"/>
  <c r="I115" i="6" s="1"/>
  <c r="J115" i="6" s="1"/>
  <c r="F114" i="6"/>
  <c r="E112" i="6"/>
  <c r="G111" i="6"/>
  <c r="H111" i="6" s="1"/>
  <c r="I111" i="6" s="1"/>
  <c r="J111" i="6" s="1"/>
  <c r="F110" i="6"/>
  <c r="G110" i="6" s="1"/>
  <c r="H110" i="6" s="1"/>
  <c r="I110" i="6" s="1"/>
  <c r="J110" i="6" s="1"/>
  <c r="G109" i="6"/>
  <c r="H109" i="6" s="1"/>
  <c r="I109" i="6" s="1"/>
  <c r="J109" i="6" s="1"/>
  <c r="G108" i="6"/>
  <c r="H108" i="6" s="1"/>
  <c r="I108" i="6" s="1"/>
  <c r="J108" i="6" s="1"/>
  <c r="G107" i="6"/>
  <c r="H107" i="6" s="1"/>
  <c r="I107" i="6" s="1"/>
  <c r="J107" i="6" s="1"/>
  <c r="F106" i="6"/>
  <c r="G106" i="6" s="1"/>
  <c r="H106" i="6" s="1"/>
  <c r="I106" i="6" s="1"/>
  <c r="J106" i="6" s="1"/>
  <c r="G105" i="6"/>
  <c r="H105" i="6" s="1"/>
  <c r="I105" i="6" s="1"/>
  <c r="J105" i="6" s="1"/>
  <c r="F104" i="6"/>
  <c r="G104" i="6" s="1"/>
  <c r="H104" i="6" s="1"/>
  <c r="I104" i="6" s="1"/>
  <c r="J104" i="6" s="1"/>
  <c r="F103" i="6"/>
  <c r="G103" i="6" s="1"/>
  <c r="H103" i="6" s="1"/>
  <c r="I103" i="6" s="1"/>
  <c r="J103" i="6" s="1"/>
  <c r="G102" i="6"/>
  <c r="H102" i="6" s="1"/>
  <c r="I102" i="6" s="1"/>
  <c r="J102" i="6" s="1"/>
  <c r="G101" i="6"/>
  <c r="H101" i="6" s="1"/>
  <c r="I101" i="6" s="1"/>
  <c r="J101" i="6" s="1"/>
  <c r="G100" i="6"/>
  <c r="H100" i="6" s="1"/>
  <c r="I100" i="6" s="1"/>
  <c r="J100" i="6" s="1"/>
  <c r="G99" i="6"/>
  <c r="I99" i="6" s="1"/>
  <c r="J99" i="6" s="1"/>
  <c r="G98" i="6"/>
  <c r="I98" i="6" s="1"/>
  <c r="J98" i="6" s="1"/>
  <c r="G97" i="6"/>
  <c r="H97" i="6" s="1"/>
  <c r="I97" i="6" s="1"/>
  <c r="J97" i="6" s="1"/>
  <c r="G96" i="6"/>
  <c r="H96" i="6" s="1"/>
  <c r="I96" i="6" s="1"/>
  <c r="J96" i="6" s="1"/>
  <c r="G95" i="6"/>
  <c r="H95" i="6" s="1"/>
  <c r="I95" i="6" s="1"/>
  <c r="J95" i="6" s="1"/>
  <c r="G94" i="6"/>
  <c r="H94" i="6" s="1"/>
  <c r="I94" i="6" s="1"/>
  <c r="J94" i="6" s="1"/>
  <c r="G93" i="6"/>
  <c r="H93" i="6" s="1"/>
  <c r="I93" i="6" s="1"/>
  <c r="J93" i="6" s="1"/>
  <c r="F92" i="6"/>
  <c r="G92" i="6" s="1"/>
  <c r="H92" i="6" s="1"/>
  <c r="I92" i="6" s="1"/>
  <c r="J92" i="6" s="1"/>
  <c r="G91" i="6"/>
  <c r="H91" i="6" s="1"/>
  <c r="I91" i="6" s="1"/>
  <c r="J91" i="6" s="1"/>
  <c r="G90" i="6"/>
  <c r="H90" i="6" s="1"/>
  <c r="I90" i="6" s="1"/>
  <c r="J90" i="6" s="1"/>
  <c r="G89" i="6"/>
  <c r="H89" i="6" s="1"/>
  <c r="I89" i="6" s="1"/>
  <c r="J89" i="6" s="1"/>
  <c r="F88" i="6"/>
  <c r="G88" i="6" s="1"/>
  <c r="H88" i="6" s="1"/>
  <c r="I88" i="6" s="1"/>
  <c r="J88" i="6" s="1"/>
  <c r="F87" i="6"/>
  <c r="G87" i="6" s="1"/>
  <c r="H87" i="6" s="1"/>
  <c r="I87" i="6" s="1"/>
  <c r="J87" i="6" s="1"/>
  <c r="G86" i="6"/>
  <c r="H86" i="6" s="1"/>
  <c r="I86" i="6" s="1"/>
  <c r="J86" i="6" s="1"/>
  <c r="G85" i="6"/>
  <c r="H85" i="6" s="1"/>
  <c r="I85" i="6" s="1"/>
  <c r="J85" i="6" s="1"/>
  <c r="G84" i="6"/>
  <c r="H84" i="6" s="1"/>
  <c r="I84" i="6" s="1"/>
  <c r="J84" i="6" s="1"/>
  <c r="F83" i="6"/>
  <c r="G83" i="6" s="1"/>
  <c r="H83" i="6" s="1"/>
  <c r="I83" i="6" s="1"/>
  <c r="J83" i="6" s="1"/>
  <c r="G82" i="6"/>
  <c r="H82" i="6" s="1"/>
  <c r="I82" i="6" s="1"/>
  <c r="J82" i="6" s="1"/>
  <c r="F81" i="6"/>
  <c r="G81" i="6" s="1"/>
  <c r="H81" i="6" s="1"/>
  <c r="I81" i="6" s="1"/>
  <c r="J81" i="6" s="1"/>
  <c r="G80" i="6"/>
  <c r="H80" i="6" s="1"/>
  <c r="I80" i="6" s="1"/>
  <c r="J80" i="6" s="1"/>
  <c r="G79" i="6"/>
  <c r="H79" i="6" s="1"/>
  <c r="I79" i="6" s="1"/>
  <c r="J79" i="6" s="1"/>
  <c r="G78" i="6"/>
  <c r="H78" i="6" s="1"/>
  <c r="I78" i="6" s="1"/>
  <c r="J78" i="6" s="1"/>
  <c r="F77" i="6"/>
  <c r="G77" i="6" s="1"/>
  <c r="H77" i="6" s="1"/>
  <c r="I77" i="6" s="1"/>
  <c r="J77" i="6" s="1"/>
  <c r="G70" i="6"/>
  <c r="H70" i="6" s="1"/>
  <c r="I70" i="6" s="1"/>
  <c r="J70" i="6" s="1"/>
  <c r="G69" i="6"/>
  <c r="H69" i="6" s="1"/>
  <c r="I69" i="6" s="1"/>
  <c r="J69" i="6" s="1"/>
  <c r="G68" i="6"/>
  <c r="H68" i="6" s="1"/>
  <c r="I68" i="6" s="1"/>
  <c r="J68" i="6" s="1"/>
  <c r="G67" i="6"/>
  <c r="H67" i="6" s="1"/>
  <c r="I67" i="6" s="1"/>
  <c r="J67" i="6" s="1"/>
  <c r="G66" i="6"/>
  <c r="H66" i="6" s="1"/>
  <c r="I66" i="6" s="1"/>
  <c r="J66" i="6" s="1"/>
  <c r="G65" i="6"/>
  <c r="H65" i="6" s="1"/>
  <c r="I65" i="6" s="1"/>
  <c r="J65" i="6" s="1"/>
  <c r="G64" i="6"/>
  <c r="H64" i="6" s="1"/>
  <c r="I64" i="6" s="1"/>
  <c r="J64" i="6" s="1"/>
  <c r="G63" i="6"/>
  <c r="H63" i="6" s="1"/>
  <c r="I63" i="6" s="1"/>
  <c r="J63" i="6" s="1"/>
  <c r="G62" i="6"/>
  <c r="H62" i="6" s="1"/>
  <c r="I62" i="6" s="1"/>
  <c r="J62" i="6" s="1"/>
  <c r="G61" i="6"/>
  <c r="H61" i="6" s="1"/>
  <c r="I61" i="6" s="1"/>
  <c r="J61" i="6" s="1"/>
  <c r="G60" i="6"/>
  <c r="H60" i="6" s="1"/>
  <c r="I60" i="6" s="1"/>
  <c r="J60" i="6" s="1"/>
  <c r="G59" i="6"/>
  <c r="I59" i="6" s="1"/>
  <c r="J59" i="6" s="1"/>
  <c r="G58" i="6"/>
  <c r="H58" i="6" s="1"/>
  <c r="I58" i="6" s="1"/>
  <c r="J58" i="6" s="1"/>
  <c r="F57" i="6"/>
  <c r="G57" i="6" s="1"/>
  <c r="H57" i="6" s="1"/>
  <c r="I57" i="6" s="1"/>
  <c r="J57" i="6" s="1"/>
  <c r="G54" i="6"/>
  <c r="H54" i="6" s="1"/>
  <c r="I54" i="6" s="1"/>
  <c r="J54" i="6" s="1"/>
  <c r="G53" i="6"/>
  <c r="H53" i="6" s="1"/>
  <c r="I53" i="6" s="1"/>
  <c r="J53" i="6" s="1"/>
  <c r="F52" i="6"/>
  <c r="G52" i="6" s="1"/>
  <c r="H52" i="6" s="1"/>
  <c r="I52" i="6" s="1"/>
  <c r="J52" i="6" s="1"/>
  <c r="G51" i="6"/>
  <c r="H51" i="6" s="1"/>
  <c r="I51" i="6" s="1"/>
  <c r="J51" i="6" s="1"/>
  <c r="G50" i="6"/>
  <c r="H50" i="6" s="1"/>
  <c r="I50" i="6" s="1"/>
  <c r="J50" i="6" s="1"/>
  <c r="G49" i="6"/>
  <c r="H49" i="6" s="1"/>
  <c r="I49" i="6" s="1"/>
  <c r="J49" i="6" s="1"/>
  <c r="F48" i="6"/>
  <c r="G48" i="6" s="1"/>
  <c r="H48" i="6" s="1"/>
  <c r="I48" i="6" s="1"/>
  <c r="J48" i="6" s="1"/>
  <c r="G47" i="6"/>
  <c r="H47" i="6" s="1"/>
  <c r="I47" i="6" s="1"/>
  <c r="J47" i="6" s="1"/>
  <c r="F46" i="6"/>
  <c r="G46" i="6" s="1"/>
  <c r="H46" i="6" s="1"/>
  <c r="I46" i="6" s="1"/>
  <c r="J46" i="6" s="1"/>
  <c r="G45" i="6"/>
  <c r="H45" i="6" s="1"/>
  <c r="I45" i="6" s="1"/>
  <c r="J45" i="6" s="1"/>
  <c r="G44" i="6"/>
  <c r="H44" i="6" s="1"/>
  <c r="I44" i="6" s="1"/>
  <c r="J44" i="6" s="1"/>
  <c r="G43" i="6"/>
  <c r="H43" i="6" s="1"/>
  <c r="I43" i="6" s="1"/>
  <c r="J43" i="6" s="1"/>
  <c r="G42" i="6"/>
  <c r="H42" i="6" s="1"/>
  <c r="I42" i="6" s="1"/>
  <c r="J42" i="6" s="1"/>
  <c r="G41" i="6"/>
  <c r="H41" i="6" s="1"/>
  <c r="I41" i="6" s="1"/>
  <c r="J41" i="6" s="1"/>
  <c r="G40" i="6"/>
  <c r="H40" i="6" s="1"/>
  <c r="I40" i="6" s="1"/>
  <c r="J40" i="6" s="1"/>
  <c r="G39" i="6"/>
  <c r="H39" i="6" s="1"/>
  <c r="I39" i="6" s="1"/>
  <c r="J39" i="6" s="1"/>
  <c r="G38" i="6"/>
  <c r="H38" i="6" s="1"/>
  <c r="I38" i="6" s="1"/>
  <c r="J38" i="6" s="1"/>
  <c r="G37" i="6"/>
  <c r="H37" i="6" s="1"/>
  <c r="I37" i="6" s="1"/>
  <c r="J37" i="6" s="1"/>
  <c r="G36" i="6"/>
  <c r="H36" i="6" s="1"/>
  <c r="I36" i="6" s="1"/>
  <c r="J36" i="6" s="1"/>
  <c r="G35" i="6"/>
  <c r="H35" i="6" s="1"/>
  <c r="I35" i="6" s="1"/>
  <c r="J35" i="6" s="1"/>
  <c r="G34" i="6"/>
  <c r="H34" i="6" s="1"/>
  <c r="I34" i="6" s="1"/>
  <c r="J34" i="6" s="1"/>
  <c r="G33" i="6"/>
  <c r="H33" i="6" s="1"/>
  <c r="I33" i="6" s="1"/>
  <c r="J33" i="6" s="1"/>
  <c r="G32" i="6"/>
  <c r="H32" i="6" s="1"/>
  <c r="I32" i="6" s="1"/>
  <c r="J32" i="6" s="1"/>
  <c r="G31" i="6"/>
  <c r="H31" i="6" s="1"/>
  <c r="I31" i="6" s="1"/>
  <c r="J31" i="6" s="1"/>
  <c r="G30" i="6"/>
  <c r="H30" i="6" s="1"/>
  <c r="I30" i="6" s="1"/>
  <c r="J30" i="6" s="1"/>
  <c r="G29" i="6"/>
  <c r="H29" i="6" s="1"/>
  <c r="I29" i="6" s="1"/>
  <c r="J29" i="6" s="1"/>
  <c r="G28" i="6"/>
  <c r="H28" i="6" s="1"/>
  <c r="I28" i="6" s="1"/>
  <c r="J28" i="6" s="1"/>
  <c r="G27" i="6"/>
  <c r="H27" i="6" s="1"/>
  <c r="I27" i="6" s="1"/>
  <c r="J27" i="6" s="1"/>
  <c r="G26" i="6"/>
  <c r="H26" i="6" s="1"/>
  <c r="I26" i="6" s="1"/>
  <c r="J26" i="6" s="1"/>
  <c r="G25" i="6"/>
  <c r="H25" i="6" s="1"/>
  <c r="I25" i="6" s="1"/>
  <c r="J25" i="6" s="1"/>
  <c r="G24" i="6"/>
  <c r="H24" i="6" s="1"/>
  <c r="I24" i="6" s="1"/>
  <c r="J24" i="6" s="1"/>
  <c r="F23" i="6"/>
  <c r="G23" i="6" s="1"/>
  <c r="H23" i="6" s="1"/>
  <c r="I23" i="6" s="1"/>
  <c r="J23" i="6" s="1"/>
  <c r="F21" i="6"/>
  <c r="E21" i="6"/>
  <c r="G20" i="6"/>
  <c r="H20" i="6" s="1"/>
  <c r="I20" i="6" s="1"/>
  <c r="J20" i="6" s="1"/>
  <c r="G19" i="6"/>
  <c r="H19" i="6" s="1"/>
  <c r="I19" i="6" s="1"/>
  <c r="J19" i="6" s="1"/>
  <c r="G18" i="6"/>
  <c r="H18" i="6" s="1"/>
  <c r="I18" i="6" s="1"/>
  <c r="J18" i="6" s="1"/>
  <c r="G17" i="6"/>
  <c r="H17" i="6" s="1"/>
  <c r="I17" i="6" s="1"/>
  <c r="J17" i="6" s="1"/>
  <c r="G16" i="6"/>
  <c r="H16" i="6" s="1"/>
  <c r="I16" i="6" s="1"/>
  <c r="J16" i="6" s="1"/>
  <c r="G15" i="6"/>
  <c r="H15" i="6" s="1"/>
  <c r="I15" i="6" s="1"/>
  <c r="J15" i="6" s="1"/>
  <c r="G14" i="6"/>
  <c r="H14" i="6" s="1"/>
  <c r="I14" i="6" s="1"/>
  <c r="J14" i="6" s="1"/>
  <c r="G13" i="6"/>
  <c r="H13" i="6" s="1"/>
  <c r="I13" i="6" s="1"/>
  <c r="J13" i="6" s="1"/>
  <c r="G12" i="6"/>
  <c r="H12" i="6" s="1"/>
  <c r="I12" i="6" s="1"/>
  <c r="J12" i="6" s="1"/>
  <c r="G11" i="6"/>
  <c r="H11" i="6" s="1"/>
  <c r="I11" i="6" s="1"/>
  <c r="J11" i="6" s="1"/>
  <c r="G10" i="6"/>
  <c r="H10" i="6" s="1"/>
  <c r="I10" i="6" s="1"/>
  <c r="J10" i="6" s="1"/>
  <c r="G9" i="6"/>
  <c r="H9" i="6" s="1"/>
  <c r="I9" i="6" s="1"/>
  <c r="J9" i="6" s="1"/>
  <c r="G8" i="6"/>
  <c r="H8" i="6" s="1"/>
  <c r="I8" i="6" s="1"/>
  <c r="J8" i="6" s="1"/>
  <c r="G7" i="6"/>
  <c r="H7" i="6" s="1"/>
  <c r="I7" i="6" s="1"/>
  <c r="J7" i="6" s="1"/>
  <c r="G6" i="6"/>
  <c r="H6" i="6" s="1"/>
  <c r="I6" i="6" s="1"/>
  <c r="J6" i="6" s="1"/>
  <c r="G5" i="6"/>
  <c r="H5" i="6" s="1"/>
  <c r="I5" i="6" s="1"/>
  <c r="J5" i="6" s="1"/>
  <c r="E20" i="1"/>
  <c r="B4" i="4" s="1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E772" i="1"/>
  <c r="E22" i="3" s="1"/>
  <c r="E736" i="1"/>
  <c r="B22" i="4" s="1"/>
  <c r="E720" i="1"/>
  <c r="E21" i="3" s="1"/>
  <c r="E686" i="1"/>
  <c r="B21" i="4" s="1"/>
  <c r="E672" i="1"/>
  <c r="E20" i="3" s="1"/>
  <c r="E633" i="1"/>
  <c r="B20" i="4" s="1"/>
  <c r="F617" i="1"/>
  <c r="F19" i="5" s="1"/>
  <c r="E617" i="1"/>
  <c r="E19" i="3" s="1"/>
  <c r="F603" i="1"/>
  <c r="E603" i="1"/>
  <c r="B19" i="4" s="1"/>
  <c r="F596" i="1"/>
  <c r="E596" i="1"/>
  <c r="E18" i="3" s="1"/>
  <c r="F585" i="1"/>
  <c r="C18" i="5" s="1"/>
  <c r="E585" i="1"/>
  <c r="B18" i="4" s="1"/>
  <c r="E577" i="1"/>
  <c r="E17" i="3" s="1"/>
  <c r="F549" i="1"/>
  <c r="C17" i="4" s="1"/>
  <c r="E549" i="1"/>
  <c r="F540" i="1"/>
  <c r="F16" i="4" s="1"/>
  <c r="E540" i="1"/>
  <c r="E16" i="5" s="1"/>
  <c r="E502" i="1"/>
  <c r="B16" i="4" s="1"/>
  <c r="E488" i="1"/>
  <c r="E15" i="3" s="1"/>
  <c r="F471" i="1"/>
  <c r="C15" i="4" s="1"/>
  <c r="E471" i="1"/>
  <c r="E461" i="1"/>
  <c r="E14" i="4" s="1"/>
  <c r="F430" i="1"/>
  <c r="C14" i="5" s="1"/>
  <c r="E430" i="1"/>
  <c r="B14" i="4" s="1"/>
  <c r="F418" i="1"/>
  <c r="F13" i="5" s="1"/>
  <c r="E418" i="1"/>
  <c r="E13" i="3" s="1"/>
  <c r="F395" i="1"/>
  <c r="E395" i="1"/>
  <c r="B13" i="4" s="1"/>
  <c r="F385" i="1"/>
  <c r="E385" i="1"/>
  <c r="E12" i="5" s="1"/>
  <c r="G372" i="1"/>
  <c r="D12" i="3" s="1"/>
  <c r="F372" i="1"/>
  <c r="C12" i="5" s="1"/>
  <c r="E372" i="1"/>
  <c r="E364" i="1"/>
  <c r="E11" i="3" s="1"/>
  <c r="F346" i="1"/>
  <c r="E346" i="1"/>
  <c r="B11" i="4" s="1"/>
  <c r="E335" i="1"/>
  <c r="E10" i="3" s="1"/>
  <c r="E317" i="1"/>
  <c r="B10" i="4" s="1"/>
  <c r="E307" i="1"/>
  <c r="E9" i="3" s="1"/>
  <c r="E280" i="1"/>
  <c r="B9" i="4" s="1"/>
  <c r="F267" i="1"/>
  <c r="F273" i="1"/>
  <c r="F280" i="1" s="1"/>
  <c r="C9" i="4" s="1"/>
  <c r="G274" i="1"/>
  <c r="G275" i="1"/>
  <c r="G276" i="1"/>
  <c r="E267" i="1"/>
  <c r="E8" i="4" s="1"/>
  <c r="F256" i="1"/>
  <c r="C8" i="5" s="1"/>
  <c r="E256" i="1"/>
  <c r="B8" i="4" s="1"/>
  <c r="E247" i="1"/>
  <c r="E7" i="3" s="1"/>
  <c r="F206" i="1"/>
  <c r="C7" i="4" s="1"/>
  <c r="E206" i="1"/>
  <c r="F194" i="1"/>
  <c r="F6" i="4" s="1"/>
  <c r="E194" i="1"/>
  <c r="E6" i="3" s="1"/>
  <c r="E181" i="1"/>
  <c r="B6" i="4" s="1"/>
  <c r="E164" i="1"/>
  <c r="E5" i="3" s="1"/>
  <c r="E109" i="1"/>
  <c r="B5" i="4" s="1"/>
  <c r="E68" i="1"/>
  <c r="E4" i="5" s="1"/>
  <c r="F20" i="1"/>
  <c r="C4" i="5" s="1"/>
  <c r="G771" i="1"/>
  <c r="G770" i="1"/>
  <c r="G769" i="1"/>
  <c r="G768" i="1"/>
  <c r="G765" i="1"/>
  <c r="G764" i="1"/>
  <c r="G763" i="1"/>
  <c r="G762" i="1"/>
  <c r="G761" i="1"/>
  <c r="G760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5" i="1"/>
  <c r="G734" i="1"/>
  <c r="G733" i="1"/>
  <c r="G732" i="1"/>
  <c r="G731" i="1"/>
  <c r="G729" i="1"/>
  <c r="G727" i="1"/>
  <c r="G719" i="1"/>
  <c r="G718" i="1"/>
  <c r="G717" i="1"/>
  <c r="G716" i="1"/>
  <c r="G715" i="1"/>
  <c r="G714" i="1"/>
  <c r="G713" i="1"/>
  <c r="G712" i="1"/>
  <c r="G711" i="1"/>
  <c r="G710" i="1"/>
  <c r="G709" i="1"/>
  <c r="G707" i="1"/>
  <c r="G706" i="1"/>
  <c r="G704" i="1"/>
  <c r="G703" i="1"/>
  <c r="G702" i="1"/>
  <c r="G701" i="1"/>
  <c r="G700" i="1"/>
  <c r="G699" i="1"/>
  <c r="G697" i="1"/>
  <c r="G696" i="1"/>
  <c r="G695" i="1"/>
  <c r="G694" i="1"/>
  <c r="G693" i="1"/>
  <c r="G692" i="1"/>
  <c r="G691" i="1"/>
  <c r="G690" i="1"/>
  <c r="G689" i="1"/>
  <c r="G685" i="1"/>
  <c r="G684" i="1"/>
  <c r="G683" i="1"/>
  <c r="G682" i="1"/>
  <c r="G680" i="1"/>
  <c r="G679" i="1"/>
  <c r="G671" i="1"/>
  <c r="G670" i="1"/>
  <c r="G669" i="1"/>
  <c r="G668" i="1"/>
  <c r="G667" i="1"/>
  <c r="G666" i="1"/>
  <c r="G665" i="1"/>
  <c r="G663" i="1"/>
  <c r="G662" i="1"/>
  <c r="G661" i="1"/>
  <c r="G660" i="1"/>
  <c r="G659" i="1"/>
  <c r="G658" i="1"/>
  <c r="G657" i="1"/>
  <c r="G656" i="1"/>
  <c r="G655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2" i="1"/>
  <c r="G631" i="1"/>
  <c r="G630" i="1"/>
  <c r="G629" i="1"/>
  <c r="G628" i="1"/>
  <c r="G625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2" i="1"/>
  <c r="G603" i="1" s="1"/>
  <c r="D19" i="3" s="1"/>
  <c r="G595" i="1"/>
  <c r="G594" i="1"/>
  <c r="G593" i="1"/>
  <c r="G592" i="1"/>
  <c r="G591" i="1"/>
  <c r="G590" i="1"/>
  <c r="G589" i="1"/>
  <c r="G588" i="1"/>
  <c r="G587" i="1"/>
  <c r="G584" i="1"/>
  <c r="G583" i="1"/>
  <c r="G576" i="1"/>
  <c r="G575" i="1"/>
  <c r="G574" i="1"/>
  <c r="G573" i="1"/>
  <c r="G572" i="1"/>
  <c r="G571" i="1"/>
  <c r="G570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48" i="1"/>
  <c r="G547" i="1"/>
  <c r="G546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1" i="1"/>
  <c r="G500" i="1"/>
  <c r="G499" i="1"/>
  <c r="G498" i="1"/>
  <c r="G497" i="1"/>
  <c r="G496" i="1"/>
  <c r="G494" i="1"/>
  <c r="G487" i="1"/>
  <c r="G486" i="1"/>
  <c r="G485" i="1"/>
  <c r="G484" i="1"/>
  <c r="G483" i="1"/>
  <c r="G482" i="1"/>
  <c r="G481" i="1"/>
  <c r="G478" i="1"/>
  <c r="G477" i="1"/>
  <c r="G476" i="1"/>
  <c r="G475" i="1"/>
  <c r="G474" i="1"/>
  <c r="G473" i="1"/>
  <c r="G470" i="1"/>
  <c r="G469" i="1"/>
  <c r="G468" i="1"/>
  <c r="G467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29" i="1"/>
  <c r="G428" i="1"/>
  <c r="G427" i="1"/>
  <c r="G426" i="1"/>
  <c r="G425" i="1"/>
  <c r="G424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4" i="1"/>
  <c r="G393" i="1"/>
  <c r="G392" i="1"/>
  <c r="G391" i="1"/>
  <c r="G384" i="1"/>
  <c r="G383" i="1"/>
  <c r="G363" i="1"/>
  <c r="G362" i="1"/>
  <c r="G361" i="1"/>
  <c r="G360" i="1"/>
  <c r="G359" i="1"/>
  <c r="G357" i="1"/>
  <c r="G356" i="1"/>
  <c r="G355" i="1"/>
  <c r="G353" i="1"/>
  <c r="G352" i="1"/>
  <c r="G351" i="1"/>
  <c r="G350" i="1"/>
  <c r="G349" i="1"/>
  <c r="G348" i="1"/>
  <c r="G345" i="1"/>
  <c r="G344" i="1"/>
  <c r="G343" i="1"/>
  <c r="G342" i="1"/>
  <c r="G341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6" i="1"/>
  <c r="G315" i="1"/>
  <c r="G314" i="1"/>
  <c r="G306" i="1"/>
  <c r="G305" i="1"/>
  <c r="G304" i="1"/>
  <c r="G303" i="1"/>
  <c r="G302" i="1"/>
  <c r="G301" i="1"/>
  <c r="G300" i="1"/>
  <c r="G299" i="1"/>
  <c r="G298" i="1"/>
  <c r="G297" i="1"/>
  <c r="G296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79" i="1"/>
  <c r="G278" i="1"/>
  <c r="G277" i="1"/>
  <c r="G266" i="1"/>
  <c r="G265" i="1"/>
  <c r="G264" i="1"/>
  <c r="G263" i="1"/>
  <c r="G262" i="1"/>
  <c r="G261" i="1"/>
  <c r="G260" i="1"/>
  <c r="G259" i="1"/>
  <c r="G258" i="1"/>
  <c r="G255" i="1"/>
  <c r="G254" i="1"/>
  <c r="G253" i="1"/>
  <c r="G246" i="1"/>
  <c r="G245" i="1"/>
  <c r="G244" i="1"/>
  <c r="G243" i="1"/>
  <c r="G242" i="1"/>
  <c r="G241" i="1"/>
  <c r="G240" i="1"/>
  <c r="G239" i="1"/>
  <c r="G238" i="1"/>
  <c r="G237" i="1"/>
  <c r="G236" i="1"/>
  <c r="G234" i="1"/>
  <c r="G233" i="1"/>
  <c r="G232" i="1"/>
  <c r="G230" i="1"/>
  <c r="G229" i="1"/>
  <c r="G228" i="1"/>
  <c r="G227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5" i="1"/>
  <c r="G204" i="1"/>
  <c r="G203" i="1"/>
  <c r="G202" i="1"/>
  <c r="G201" i="1"/>
  <c r="G200" i="1"/>
  <c r="G193" i="1"/>
  <c r="G192" i="1"/>
  <c r="G191" i="1"/>
  <c r="G190" i="1"/>
  <c r="G189" i="1"/>
  <c r="G188" i="1"/>
  <c r="G187" i="1"/>
  <c r="G186" i="1"/>
  <c r="G185" i="1"/>
  <c r="G184" i="1"/>
  <c r="G183" i="1"/>
  <c r="G180" i="1"/>
  <c r="G179" i="1"/>
  <c r="G178" i="1"/>
  <c r="G177" i="1"/>
  <c r="G175" i="1"/>
  <c r="G174" i="1"/>
  <c r="G171" i="1"/>
  <c r="G163" i="1"/>
  <c r="G162" i="1"/>
  <c r="G161" i="1"/>
  <c r="G160" i="1"/>
  <c r="G159" i="1"/>
  <c r="G158" i="1"/>
  <c r="G157" i="1"/>
  <c r="G155" i="1"/>
  <c r="G152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6" i="1"/>
  <c r="G135" i="1"/>
  <c r="G134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08" i="1"/>
  <c r="G106" i="1"/>
  <c r="G105" i="1"/>
  <c r="G104" i="1"/>
  <c r="G102" i="1"/>
  <c r="G99" i="1"/>
  <c r="G98" i="1"/>
  <c r="G97" i="1"/>
  <c r="G96" i="1"/>
  <c r="G95" i="1"/>
  <c r="G94" i="1"/>
  <c r="G93" i="1"/>
  <c r="G92" i="1"/>
  <c r="G91" i="1"/>
  <c r="G90" i="1"/>
  <c r="G88" i="1"/>
  <c r="G87" i="1"/>
  <c r="G86" i="1"/>
  <c r="G83" i="1"/>
  <c r="G82" i="1"/>
  <c r="G81" i="1"/>
  <c r="G79" i="1"/>
  <c r="G77" i="1"/>
  <c r="G76" i="1"/>
  <c r="G75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3" i="1"/>
  <c r="G52" i="1"/>
  <c r="G50" i="1"/>
  <c r="G49" i="1"/>
  <c r="G48" i="1"/>
  <c r="G46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F767" i="1"/>
  <c r="G767" i="1" s="1"/>
  <c r="F766" i="1"/>
  <c r="G766" i="1" s="1"/>
  <c r="F759" i="1"/>
  <c r="G759" i="1" s="1"/>
  <c r="F738" i="1"/>
  <c r="G738" i="1" s="1"/>
  <c r="F730" i="1"/>
  <c r="G730" i="1" s="1"/>
  <c r="F728" i="1"/>
  <c r="G728" i="1" s="1"/>
  <c r="F726" i="1"/>
  <c r="G726" i="1" s="1"/>
  <c r="F708" i="1"/>
  <c r="G708" i="1" s="1"/>
  <c r="F705" i="1"/>
  <c r="G705" i="1" s="1"/>
  <c r="F698" i="1"/>
  <c r="G698" i="1" s="1"/>
  <c r="F688" i="1"/>
  <c r="G688" i="1" s="1"/>
  <c r="F681" i="1"/>
  <c r="G681" i="1" s="1"/>
  <c r="F678" i="1"/>
  <c r="G678" i="1" s="1"/>
  <c r="F664" i="1"/>
  <c r="G664" i="1" s="1"/>
  <c r="F654" i="1"/>
  <c r="G654" i="1" s="1"/>
  <c r="F653" i="1"/>
  <c r="G653" i="1" s="1"/>
  <c r="F635" i="1"/>
  <c r="G635" i="1" s="1"/>
  <c r="F627" i="1"/>
  <c r="G627" i="1" s="1"/>
  <c r="F626" i="1"/>
  <c r="G626" i="1" s="1"/>
  <c r="F624" i="1"/>
  <c r="G624" i="1" s="1"/>
  <c r="F623" i="1"/>
  <c r="G623" i="1" s="1"/>
  <c r="F569" i="1"/>
  <c r="G569" i="1" s="1"/>
  <c r="F551" i="1"/>
  <c r="G551" i="1" s="1"/>
  <c r="F495" i="1"/>
  <c r="G495" i="1" s="1"/>
  <c r="F480" i="1"/>
  <c r="G480" i="1" s="1"/>
  <c r="F479" i="1"/>
  <c r="G479" i="1" s="1"/>
  <c r="F432" i="1"/>
  <c r="G432" i="1" s="1"/>
  <c r="F358" i="1"/>
  <c r="G358" i="1" s="1"/>
  <c r="F354" i="1"/>
  <c r="G354" i="1" s="1"/>
  <c r="F319" i="1"/>
  <c r="G319" i="1" s="1"/>
  <c r="F313" i="1"/>
  <c r="G313" i="1" s="1"/>
  <c r="F295" i="1"/>
  <c r="G295" i="1" s="1"/>
  <c r="F235" i="1"/>
  <c r="G235" i="1" s="1"/>
  <c r="F231" i="1"/>
  <c r="G231" i="1" s="1"/>
  <c r="F226" i="1"/>
  <c r="G226" i="1" s="1"/>
  <c r="F208" i="1"/>
  <c r="G208" i="1" s="1"/>
  <c r="F176" i="1"/>
  <c r="G176" i="1" s="1"/>
  <c r="F173" i="1"/>
  <c r="G173" i="1" s="1"/>
  <c r="F172" i="1"/>
  <c r="G172" i="1" s="1"/>
  <c r="F170" i="1"/>
  <c r="G170" i="1" s="1"/>
  <c r="F156" i="1"/>
  <c r="G156" i="1" s="1"/>
  <c r="F154" i="1"/>
  <c r="G154" i="1" s="1"/>
  <c r="F153" i="1"/>
  <c r="G153" i="1" s="1"/>
  <c r="F151" i="1"/>
  <c r="G151" i="1" s="1"/>
  <c r="F137" i="1"/>
  <c r="G137" i="1" s="1"/>
  <c r="F133" i="1"/>
  <c r="G133" i="1" s="1"/>
  <c r="F132" i="1"/>
  <c r="G132" i="1" s="1"/>
  <c r="F131" i="1"/>
  <c r="G131" i="1" s="1"/>
  <c r="F111" i="1"/>
  <c r="G111" i="1" s="1"/>
  <c r="F107" i="1"/>
  <c r="G107" i="1" s="1"/>
  <c r="F103" i="1"/>
  <c r="G103" i="1" s="1"/>
  <c r="F101" i="1"/>
  <c r="G101" i="1" s="1"/>
  <c r="F100" i="1"/>
  <c r="G100" i="1" s="1"/>
  <c r="F89" i="1"/>
  <c r="G89" i="1" s="1"/>
  <c r="F85" i="1"/>
  <c r="G85" i="1" s="1"/>
  <c r="F84" i="1"/>
  <c r="G84" i="1" s="1"/>
  <c r="F80" i="1"/>
  <c r="G80" i="1" s="1"/>
  <c r="F78" i="1"/>
  <c r="G78" i="1" s="1"/>
  <c r="F74" i="1"/>
  <c r="G74" i="1" s="1"/>
  <c r="F54" i="1"/>
  <c r="G54" i="1" s="1"/>
  <c r="F51" i="1"/>
  <c r="G51" i="1" s="1"/>
  <c r="F47" i="1"/>
  <c r="G47" i="1" s="1"/>
  <c r="F45" i="1"/>
  <c r="G45" i="1" s="1"/>
  <c r="F22" i="1"/>
  <c r="G22" i="1" s="1"/>
  <c r="S21" i="31" l="1"/>
  <c r="T21" i="31" s="1"/>
  <c r="M11" i="7"/>
  <c r="C21" i="7"/>
  <c r="C292" i="24"/>
  <c r="L19" i="31"/>
  <c r="P14" i="31"/>
  <c r="F24" i="31"/>
  <c r="D24" i="31"/>
  <c r="P17" i="31"/>
  <c r="M13" i="7"/>
  <c r="G8" i="7"/>
  <c r="K12" i="31"/>
  <c r="L12" i="31" s="1"/>
  <c r="H20" i="31"/>
  <c r="F292" i="18"/>
  <c r="S17" i="31"/>
  <c r="T17" i="31" s="1"/>
  <c r="K4" i="7"/>
  <c r="M4" i="7" s="1"/>
  <c r="P15" i="31"/>
  <c r="H19" i="31"/>
  <c r="K12" i="7"/>
  <c r="S19" i="31"/>
  <c r="T19" i="31" s="1"/>
  <c r="P21" i="31"/>
  <c r="P18" i="31"/>
  <c r="L13" i="31"/>
  <c r="J24" i="31"/>
  <c r="L20" i="31"/>
  <c r="F291" i="13"/>
  <c r="R13" i="31"/>
  <c r="G14" i="7"/>
  <c r="K18" i="31"/>
  <c r="L18" i="31" s="1"/>
  <c r="L12" i="7"/>
  <c r="L5" i="31"/>
  <c r="G24" i="31"/>
  <c r="H5" i="31"/>
  <c r="F292" i="22"/>
  <c r="L15" i="7"/>
  <c r="K15" i="7"/>
  <c r="F21" i="7"/>
  <c r="E292" i="14"/>
  <c r="K10" i="7"/>
  <c r="M10" i="7" s="1"/>
  <c r="D292" i="9"/>
  <c r="D5" i="7"/>
  <c r="E292" i="22"/>
  <c r="L17" i="7"/>
  <c r="M17" i="7" s="1"/>
  <c r="E292" i="19"/>
  <c r="L14" i="7"/>
  <c r="M14" i="7" s="1"/>
  <c r="D292" i="10"/>
  <c r="D6" i="7"/>
  <c r="D292" i="8"/>
  <c r="G4" i="7"/>
  <c r="D292" i="20"/>
  <c r="D15" i="7"/>
  <c r="D292" i="16"/>
  <c r="G12" i="7"/>
  <c r="D292" i="21"/>
  <c r="G16" i="7"/>
  <c r="I687" i="25"/>
  <c r="I428" i="25"/>
  <c r="I430" i="25" s="1"/>
  <c r="G689" i="25"/>
  <c r="J430" i="25"/>
  <c r="G323" i="25"/>
  <c r="I295" i="25"/>
  <c r="I299" i="25"/>
  <c r="H303" i="25"/>
  <c r="G638" i="25"/>
  <c r="J295" i="25"/>
  <c r="I174" i="25"/>
  <c r="H185" i="25"/>
  <c r="H201" i="25" s="1"/>
  <c r="D292" i="19"/>
  <c r="D292" i="12"/>
  <c r="E290" i="11"/>
  <c r="O10" i="31" s="1"/>
  <c r="D292" i="11"/>
  <c r="G21" i="7"/>
  <c r="D264" i="26"/>
  <c r="E262" i="26"/>
  <c r="E99" i="26"/>
  <c r="G107" i="26"/>
  <c r="G26" i="26"/>
  <c r="G16" i="26"/>
  <c r="E290" i="9"/>
  <c r="G106" i="26"/>
  <c r="E290" i="12"/>
  <c r="E292" i="16"/>
  <c r="F292" i="20"/>
  <c r="E292" i="20"/>
  <c r="J486" i="25"/>
  <c r="J490" i="25" s="1"/>
  <c r="J521" i="25" s="1"/>
  <c r="I490" i="25"/>
  <c r="I521" i="25" s="1"/>
  <c r="J349" i="25"/>
  <c r="J350" i="25" s="1"/>
  <c r="J352" i="25" s="1"/>
  <c r="I350" i="25"/>
  <c r="I352" i="25" s="1"/>
  <c r="J362" i="25"/>
  <c r="J384" i="25" s="1"/>
  <c r="J386" i="25" s="1"/>
  <c r="I384" i="25"/>
  <c r="I386" i="25" s="1"/>
  <c r="I211" i="25"/>
  <c r="H254" i="25"/>
  <c r="J77" i="25"/>
  <c r="J112" i="25" s="1"/>
  <c r="J170" i="25" s="1"/>
  <c r="I112" i="25"/>
  <c r="I170" i="25" s="1"/>
  <c r="H636" i="25"/>
  <c r="I628" i="25"/>
  <c r="I482" i="25"/>
  <c r="H321" i="25"/>
  <c r="I318" i="25"/>
  <c r="I642" i="25"/>
  <c r="H649" i="25"/>
  <c r="H689" i="25" s="1"/>
  <c r="H599" i="25"/>
  <c r="I588" i="25"/>
  <c r="J482" i="25"/>
  <c r="D121" i="24"/>
  <c r="D292" i="24" s="1"/>
  <c r="E292" i="8"/>
  <c r="E121" i="21"/>
  <c r="P20" i="31" s="1"/>
  <c r="F121" i="21"/>
  <c r="I529" i="6"/>
  <c r="J529" i="6" s="1"/>
  <c r="H17" i="7"/>
  <c r="H13" i="7"/>
  <c r="H12" i="7"/>
  <c r="H15" i="7"/>
  <c r="H11" i="7"/>
  <c r="H16" i="7"/>
  <c r="I11" i="7"/>
  <c r="H14" i="7"/>
  <c r="H4" i="7"/>
  <c r="I10" i="7"/>
  <c r="H10" i="7"/>
  <c r="H9" i="7"/>
  <c r="H8" i="7"/>
  <c r="H7" i="7"/>
  <c r="H6" i="7"/>
  <c r="H5" i="7"/>
  <c r="E19" i="7"/>
  <c r="B19" i="7"/>
  <c r="J649" i="6"/>
  <c r="G738" i="6"/>
  <c r="F738" i="6"/>
  <c r="E740" i="6"/>
  <c r="G701" i="6"/>
  <c r="F701" i="6"/>
  <c r="H738" i="6"/>
  <c r="F482" i="6"/>
  <c r="E295" i="6"/>
  <c r="E323" i="6"/>
  <c r="E430" i="6"/>
  <c r="F428" i="6"/>
  <c r="H582" i="6"/>
  <c r="H384" i="6"/>
  <c r="H360" i="6"/>
  <c r="J360" i="6"/>
  <c r="H321" i="6"/>
  <c r="H293" i="6"/>
  <c r="H428" i="6"/>
  <c r="H490" i="6"/>
  <c r="J490" i="6"/>
  <c r="H303" i="6"/>
  <c r="F168" i="6"/>
  <c r="E584" i="6"/>
  <c r="F636" i="6"/>
  <c r="H396" i="6"/>
  <c r="H185" i="6"/>
  <c r="I175" i="6"/>
  <c r="J175" i="6" s="1"/>
  <c r="J185" i="6" s="1"/>
  <c r="H332" i="6"/>
  <c r="J332" i="6"/>
  <c r="H480" i="6"/>
  <c r="G211" i="6"/>
  <c r="H211" i="6" s="1"/>
  <c r="F252" i="6"/>
  <c r="H649" i="6"/>
  <c r="G649" i="6"/>
  <c r="F599" i="6"/>
  <c r="H199" i="6"/>
  <c r="J112" i="6"/>
  <c r="H112" i="6"/>
  <c r="I112" i="6"/>
  <c r="H71" i="6"/>
  <c r="I71" i="6"/>
  <c r="H21" i="6"/>
  <c r="E254" i="6"/>
  <c r="G258" i="6"/>
  <c r="I258" i="6" s="1"/>
  <c r="J258" i="6" s="1"/>
  <c r="F293" i="6"/>
  <c r="G332" i="6"/>
  <c r="E386" i="6"/>
  <c r="F536" i="6"/>
  <c r="G21" i="6"/>
  <c r="E482" i="6"/>
  <c r="F519" i="6"/>
  <c r="F687" i="6"/>
  <c r="G112" i="6"/>
  <c r="E170" i="6"/>
  <c r="G199" i="6"/>
  <c r="G490" i="6"/>
  <c r="E638" i="6"/>
  <c r="E689" i="6"/>
  <c r="F71" i="6"/>
  <c r="F112" i="6"/>
  <c r="E201" i="6"/>
  <c r="G321" i="6"/>
  <c r="G360" i="6"/>
  <c r="E521" i="6"/>
  <c r="G588" i="6"/>
  <c r="H588" i="6" s="1"/>
  <c r="I588" i="6" s="1"/>
  <c r="J588" i="6" s="1"/>
  <c r="E73" i="6"/>
  <c r="G114" i="6"/>
  <c r="F185" i="6"/>
  <c r="G213" i="6"/>
  <c r="G293" i="6"/>
  <c r="G303" i="6"/>
  <c r="E352" i="6"/>
  <c r="F386" i="6"/>
  <c r="G384" i="6"/>
  <c r="G396" i="6"/>
  <c r="G428" i="6"/>
  <c r="G480" i="6"/>
  <c r="G492" i="6"/>
  <c r="H492" i="6" s="1"/>
  <c r="I492" i="6" s="1"/>
  <c r="J492" i="6" s="1"/>
  <c r="G525" i="6"/>
  <c r="H525" i="6" s="1"/>
  <c r="I525" i="6" s="1"/>
  <c r="J525" i="6" s="1"/>
  <c r="G582" i="6"/>
  <c r="G651" i="6"/>
  <c r="H651" i="6" s="1"/>
  <c r="I651" i="6" s="1"/>
  <c r="J651" i="6" s="1"/>
  <c r="G71" i="6"/>
  <c r="G185" i="6"/>
  <c r="F352" i="6"/>
  <c r="F649" i="6"/>
  <c r="F303" i="6"/>
  <c r="F321" i="6"/>
  <c r="G340" i="6"/>
  <c r="I340" i="6" s="1"/>
  <c r="J340" i="6" s="1"/>
  <c r="F582" i="6"/>
  <c r="G435" i="6"/>
  <c r="H435" i="6" s="1"/>
  <c r="I435" i="6" s="1"/>
  <c r="J435" i="6" s="1"/>
  <c r="G601" i="6"/>
  <c r="H601" i="6" s="1"/>
  <c r="I601" i="6" s="1"/>
  <c r="J601" i="6" s="1"/>
  <c r="B4" i="5"/>
  <c r="H4" i="5" s="1"/>
  <c r="C17" i="3"/>
  <c r="E12" i="4"/>
  <c r="E13" i="5"/>
  <c r="E12" i="3"/>
  <c r="E18" i="4"/>
  <c r="H18" i="4" s="1"/>
  <c r="E8" i="3"/>
  <c r="E18" i="5"/>
  <c r="C7" i="3"/>
  <c r="E19" i="4"/>
  <c r="H19" i="4" s="1"/>
  <c r="E8" i="5"/>
  <c r="E11" i="5"/>
  <c r="E14" i="3"/>
  <c r="E13" i="4"/>
  <c r="H13" i="4" s="1"/>
  <c r="C9" i="5"/>
  <c r="E14" i="5"/>
  <c r="C17" i="5"/>
  <c r="E19" i="5"/>
  <c r="H8" i="4"/>
  <c r="F19" i="4"/>
  <c r="F13" i="4"/>
  <c r="F13" i="3"/>
  <c r="E9" i="4"/>
  <c r="H9" i="4" s="1"/>
  <c r="E11" i="4"/>
  <c r="H11" i="4" s="1"/>
  <c r="C7" i="5"/>
  <c r="E22" i="5"/>
  <c r="D12" i="5"/>
  <c r="E15" i="5"/>
  <c r="H14" i="4"/>
  <c r="D12" i="4"/>
  <c r="E15" i="4"/>
  <c r="E21" i="4"/>
  <c r="H21" i="4" s="1"/>
  <c r="E9" i="5"/>
  <c r="E21" i="5"/>
  <c r="E5" i="4"/>
  <c r="H5" i="4" s="1"/>
  <c r="E5" i="5"/>
  <c r="F8" i="3"/>
  <c r="F8" i="5"/>
  <c r="I8" i="5" s="1"/>
  <c r="B12" i="3"/>
  <c r="B12" i="5"/>
  <c r="H12" i="5" s="1"/>
  <c r="F12" i="3"/>
  <c r="F12" i="5"/>
  <c r="I12" i="5" s="1"/>
  <c r="B15" i="5"/>
  <c r="B15" i="3"/>
  <c r="H15" i="3" s="1"/>
  <c r="F18" i="3"/>
  <c r="F18" i="5"/>
  <c r="I18" i="5" s="1"/>
  <c r="C4" i="3"/>
  <c r="C4" i="4"/>
  <c r="B6" i="3"/>
  <c r="H6" i="3" s="1"/>
  <c r="B6" i="5"/>
  <c r="B10" i="3"/>
  <c r="H10" i="3" s="1"/>
  <c r="B10" i="5"/>
  <c r="B16" i="3"/>
  <c r="B16" i="5"/>
  <c r="H16" i="5" s="1"/>
  <c r="E722" i="1"/>
  <c r="B21" i="5"/>
  <c r="B22" i="3"/>
  <c r="H22" i="3" s="1"/>
  <c r="B22" i="5"/>
  <c r="E4" i="3"/>
  <c r="E16" i="3"/>
  <c r="E7" i="4"/>
  <c r="B12" i="4"/>
  <c r="E17" i="4"/>
  <c r="E7" i="5"/>
  <c r="E17" i="5"/>
  <c r="C9" i="3"/>
  <c r="C15" i="3"/>
  <c r="B21" i="3"/>
  <c r="H21" i="3" s="1"/>
  <c r="F8" i="4"/>
  <c r="F12" i="4"/>
  <c r="F18" i="4"/>
  <c r="D19" i="4"/>
  <c r="D19" i="5"/>
  <c r="B7" i="3"/>
  <c r="H7" i="3" s="1"/>
  <c r="B7" i="5"/>
  <c r="C8" i="3"/>
  <c r="C8" i="4"/>
  <c r="C11" i="3"/>
  <c r="C11" i="4"/>
  <c r="C13" i="3"/>
  <c r="C13" i="4"/>
  <c r="C14" i="3"/>
  <c r="C14" i="4"/>
  <c r="B17" i="3"/>
  <c r="H17" i="3" s="1"/>
  <c r="B17" i="5"/>
  <c r="C18" i="3"/>
  <c r="C18" i="4"/>
  <c r="C19" i="3"/>
  <c r="C19" i="4"/>
  <c r="F19" i="3"/>
  <c r="E4" i="4"/>
  <c r="H4" i="4" s="1"/>
  <c r="E6" i="4"/>
  <c r="H6" i="4" s="1"/>
  <c r="B7" i="4"/>
  <c r="E10" i="4"/>
  <c r="H10" i="4" s="1"/>
  <c r="B15" i="4"/>
  <c r="E16" i="4"/>
  <c r="H16" i="4" s="1"/>
  <c r="B17" i="4"/>
  <c r="E20" i="4"/>
  <c r="H20" i="4" s="1"/>
  <c r="E22" i="4"/>
  <c r="H22" i="4" s="1"/>
  <c r="E6" i="5"/>
  <c r="E10" i="5"/>
  <c r="C11" i="5"/>
  <c r="C13" i="5"/>
  <c r="I13" i="5" s="1"/>
  <c r="C15" i="5"/>
  <c r="C19" i="5"/>
  <c r="I19" i="5" s="1"/>
  <c r="E20" i="5"/>
  <c r="B5" i="3"/>
  <c r="H5" i="3" s="1"/>
  <c r="B5" i="5"/>
  <c r="F6" i="3"/>
  <c r="F6" i="5"/>
  <c r="B8" i="3"/>
  <c r="B8" i="5"/>
  <c r="B9" i="3"/>
  <c r="H9" i="3" s="1"/>
  <c r="B9" i="5"/>
  <c r="B11" i="3"/>
  <c r="H11" i="3" s="1"/>
  <c r="B11" i="5"/>
  <c r="C12" i="3"/>
  <c r="C12" i="4"/>
  <c r="B13" i="3"/>
  <c r="H13" i="3" s="1"/>
  <c r="B13" i="5"/>
  <c r="H13" i="5" s="1"/>
  <c r="B14" i="3"/>
  <c r="H14" i="3" s="1"/>
  <c r="B14" i="5"/>
  <c r="F16" i="3"/>
  <c r="F16" i="5"/>
  <c r="B18" i="3"/>
  <c r="H18" i="3" s="1"/>
  <c r="B18" i="5"/>
  <c r="B19" i="3"/>
  <c r="H19" i="3" s="1"/>
  <c r="B19" i="5"/>
  <c r="B20" i="3"/>
  <c r="H20" i="3" s="1"/>
  <c r="B20" i="5"/>
  <c r="B4" i="3"/>
  <c r="E776" i="1"/>
  <c r="G720" i="1"/>
  <c r="G772" i="1"/>
  <c r="E674" i="1"/>
  <c r="E774" i="1"/>
  <c r="G736" i="1"/>
  <c r="F772" i="1"/>
  <c r="F736" i="1"/>
  <c r="G672" i="1"/>
  <c r="G686" i="1"/>
  <c r="E579" i="1"/>
  <c r="F598" i="1"/>
  <c r="G633" i="1"/>
  <c r="F720" i="1"/>
  <c r="F686" i="1"/>
  <c r="F672" i="1"/>
  <c r="F633" i="1"/>
  <c r="F619" i="1"/>
  <c r="G596" i="1"/>
  <c r="E598" i="1"/>
  <c r="E619" i="1"/>
  <c r="G617" i="1"/>
  <c r="G549" i="1"/>
  <c r="E542" i="1"/>
  <c r="G577" i="1"/>
  <c r="G585" i="1"/>
  <c r="G540" i="1"/>
  <c r="E490" i="1"/>
  <c r="F577" i="1"/>
  <c r="G502" i="1"/>
  <c r="G488" i="1"/>
  <c r="E366" i="1"/>
  <c r="E420" i="1"/>
  <c r="E463" i="1"/>
  <c r="G461" i="1"/>
  <c r="G471" i="1"/>
  <c r="F502" i="1"/>
  <c r="F488" i="1"/>
  <c r="F420" i="1"/>
  <c r="F461" i="1"/>
  <c r="E387" i="1"/>
  <c r="G430" i="1"/>
  <c r="G418" i="1"/>
  <c r="G395" i="1"/>
  <c r="E249" i="1"/>
  <c r="F387" i="1"/>
  <c r="G385" i="1"/>
  <c r="F364" i="1"/>
  <c r="G364" i="1"/>
  <c r="G346" i="1"/>
  <c r="E337" i="1"/>
  <c r="G335" i="1"/>
  <c r="F335" i="1"/>
  <c r="G317" i="1"/>
  <c r="F307" i="1"/>
  <c r="E166" i="1"/>
  <c r="F317" i="1"/>
  <c r="G194" i="1"/>
  <c r="G256" i="1"/>
  <c r="E309" i="1"/>
  <c r="G307" i="1"/>
  <c r="G247" i="1"/>
  <c r="G267" i="1"/>
  <c r="E269" i="1"/>
  <c r="G273" i="1"/>
  <c r="G280" i="1" s="1"/>
  <c r="F269" i="1"/>
  <c r="F247" i="1"/>
  <c r="G206" i="1"/>
  <c r="E196" i="1"/>
  <c r="G164" i="1"/>
  <c r="G181" i="1"/>
  <c r="F181" i="1"/>
  <c r="F164" i="1"/>
  <c r="E70" i="1"/>
  <c r="G109" i="1"/>
  <c r="F68" i="1"/>
  <c r="F109" i="1"/>
  <c r="G68" i="1"/>
  <c r="G20" i="1"/>
  <c r="I1004" i="2"/>
  <c r="H1004" i="2"/>
  <c r="G1004" i="2"/>
  <c r="F1004" i="2"/>
  <c r="D1004" i="2"/>
  <c r="O12" i="31" l="1"/>
  <c r="P12" i="31" s="1"/>
  <c r="P19" i="31"/>
  <c r="L24" i="31"/>
  <c r="P16" i="31"/>
  <c r="M12" i="7"/>
  <c r="L7" i="7"/>
  <c r="F292" i="21"/>
  <c r="R20" i="31"/>
  <c r="T20" i="31" s="1"/>
  <c r="K24" i="31"/>
  <c r="H24" i="31"/>
  <c r="T13" i="31"/>
  <c r="M15" i="7"/>
  <c r="L5" i="7"/>
  <c r="M5" i="7" s="1"/>
  <c r="O5" i="31"/>
  <c r="J6" i="7"/>
  <c r="E292" i="12"/>
  <c r="L8" i="7"/>
  <c r="M8" i="7" s="1"/>
  <c r="E292" i="21"/>
  <c r="K16" i="7"/>
  <c r="M16" i="7" s="1"/>
  <c r="I185" i="25"/>
  <c r="I201" i="25" s="1"/>
  <c r="J174" i="25"/>
  <c r="J185" i="25" s="1"/>
  <c r="J201" i="25" s="1"/>
  <c r="I303" i="25"/>
  <c r="J299" i="25"/>
  <c r="J303" i="25" s="1"/>
  <c r="G1006" i="2"/>
  <c r="F262" i="26"/>
  <c r="E264" i="26"/>
  <c r="F290" i="19"/>
  <c r="S18" i="31" s="1"/>
  <c r="T18" i="31" s="1"/>
  <c r="F290" i="12"/>
  <c r="F290" i="16"/>
  <c r="F290" i="9"/>
  <c r="S5" i="31" s="1"/>
  <c r="D21" i="7"/>
  <c r="H638" i="25"/>
  <c r="H323" i="25"/>
  <c r="H743" i="25"/>
  <c r="I636" i="25"/>
  <c r="J628" i="25"/>
  <c r="J636" i="25" s="1"/>
  <c r="I599" i="25"/>
  <c r="J588" i="25"/>
  <c r="J599" i="25" s="1"/>
  <c r="I321" i="25"/>
  <c r="J318" i="25"/>
  <c r="J321" i="25" s="1"/>
  <c r="I649" i="25"/>
  <c r="I689" i="25" s="1"/>
  <c r="J642" i="25"/>
  <c r="J649" i="25" s="1"/>
  <c r="J689" i="25" s="1"/>
  <c r="I254" i="25"/>
  <c r="J211" i="25"/>
  <c r="J254" i="25" s="1"/>
  <c r="H742" i="25"/>
  <c r="E292" i="9"/>
  <c r="E121" i="11"/>
  <c r="F292" i="11"/>
  <c r="F292" i="10"/>
  <c r="E121" i="10"/>
  <c r="P9" i="31" s="1"/>
  <c r="I14" i="7"/>
  <c r="I16" i="7"/>
  <c r="J17" i="7"/>
  <c r="J4" i="7"/>
  <c r="J12" i="7"/>
  <c r="I15" i="7"/>
  <c r="H19" i="5"/>
  <c r="H8" i="5"/>
  <c r="I13" i="3"/>
  <c r="I9" i="7"/>
  <c r="J9" i="7"/>
  <c r="J11" i="7"/>
  <c r="I5" i="7"/>
  <c r="H12" i="3"/>
  <c r="I17" i="7"/>
  <c r="F201" i="6"/>
  <c r="F254" i="6"/>
  <c r="I7" i="7"/>
  <c r="F73" i="6"/>
  <c r="I4" i="7"/>
  <c r="F521" i="6"/>
  <c r="I13" i="7"/>
  <c r="I211" i="6"/>
  <c r="J211" i="6" s="1"/>
  <c r="F430" i="6"/>
  <c r="I12" i="7"/>
  <c r="F295" i="6"/>
  <c r="I8" i="7"/>
  <c r="H18" i="5"/>
  <c r="G740" i="6"/>
  <c r="H19" i="7"/>
  <c r="J738" i="6"/>
  <c r="I738" i="6"/>
  <c r="F740" i="6"/>
  <c r="H701" i="6"/>
  <c r="J582" i="6"/>
  <c r="F584" i="6"/>
  <c r="I185" i="6"/>
  <c r="J480" i="6"/>
  <c r="I480" i="6"/>
  <c r="J428" i="6"/>
  <c r="J396" i="6"/>
  <c r="J321" i="6"/>
  <c r="J293" i="6"/>
  <c r="I582" i="6"/>
  <c r="I321" i="6"/>
  <c r="H386" i="6"/>
  <c r="I428" i="6"/>
  <c r="G386" i="6"/>
  <c r="I396" i="6"/>
  <c r="J384" i="6"/>
  <c r="J386" i="6" s="1"/>
  <c r="F638" i="6"/>
  <c r="H430" i="6"/>
  <c r="G687" i="6"/>
  <c r="G519" i="6"/>
  <c r="G252" i="6"/>
  <c r="H213" i="6"/>
  <c r="I303" i="6"/>
  <c r="J303" i="6"/>
  <c r="H201" i="6"/>
  <c r="I199" i="6"/>
  <c r="J199" i="6" s="1"/>
  <c r="J201" i="6" s="1"/>
  <c r="G350" i="6"/>
  <c r="G536" i="6"/>
  <c r="G168" i="6"/>
  <c r="H114" i="6"/>
  <c r="G266" i="6"/>
  <c r="I490" i="6"/>
  <c r="I332" i="6"/>
  <c r="F689" i="6"/>
  <c r="G201" i="6"/>
  <c r="G323" i="6"/>
  <c r="F170" i="6"/>
  <c r="I384" i="6"/>
  <c r="G442" i="6"/>
  <c r="G599" i="6"/>
  <c r="H266" i="6"/>
  <c r="G636" i="6"/>
  <c r="I360" i="6"/>
  <c r="I293" i="6"/>
  <c r="I649" i="6"/>
  <c r="H323" i="6"/>
  <c r="H73" i="6"/>
  <c r="J71" i="6"/>
  <c r="I21" i="6"/>
  <c r="I73" i="6" s="1"/>
  <c r="J21" i="6"/>
  <c r="G430" i="6"/>
  <c r="F323" i="6"/>
  <c r="G73" i="6"/>
  <c r="H11" i="5"/>
  <c r="I13" i="4"/>
  <c r="H9" i="5"/>
  <c r="I8" i="3"/>
  <c r="I19" i="4"/>
  <c r="H14" i="5"/>
  <c r="H8" i="3"/>
  <c r="H12" i="4"/>
  <c r="H15" i="5"/>
  <c r="I18" i="3"/>
  <c r="H20" i="5"/>
  <c r="I12" i="3"/>
  <c r="H21" i="5"/>
  <c r="H4" i="3"/>
  <c r="H22" i="5"/>
  <c r="B24" i="5"/>
  <c r="E24" i="3"/>
  <c r="H15" i="4"/>
  <c r="B24" i="4"/>
  <c r="H7" i="5"/>
  <c r="H5" i="5"/>
  <c r="E24" i="5"/>
  <c r="I8" i="4"/>
  <c r="H16" i="3"/>
  <c r="H6" i="5"/>
  <c r="F4" i="5"/>
  <c r="F4" i="4"/>
  <c r="C6" i="4"/>
  <c r="I6" i="4" s="1"/>
  <c r="C6" i="5"/>
  <c r="I6" i="5" s="1"/>
  <c r="D7" i="3"/>
  <c r="D7" i="5"/>
  <c r="D7" i="4"/>
  <c r="G10" i="3"/>
  <c r="G10" i="4"/>
  <c r="G10" i="5"/>
  <c r="F11" i="5"/>
  <c r="I11" i="5" s="1"/>
  <c r="F11" i="4"/>
  <c r="I11" i="4" s="1"/>
  <c r="D13" i="3"/>
  <c r="D13" i="5"/>
  <c r="D13" i="4"/>
  <c r="F14" i="5"/>
  <c r="I14" i="5" s="1"/>
  <c r="F14" i="4"/>
  <c r="I14" i="4" s="1"/>
  <c r="D15" i="3"/>
  <c r="D15" i="5"/>
  <c r="D15" i="4"/>
  <c r="F20" i="3"/>
  <c r="F20" i="5"/>
  <c r="F20" i="4"/>
  <c r="C22" i="3"/>
  <c r="C22" i="5"/>
  <c r="C22" i="4"/>
  <c r="H17" i="4"/>
  <c r="H7" i="4"/>
  <c r="I18" i="4"/>
  <c r="C5" i="3"/>
  <c r="C5" i="4"/>
  <c r="C5" i="5"/>
  <c r="G9" i="3"/>
  <c r="G9" i="4"/>
  <c r="G9" i="5"/>
  <c r="C10" i="3"/>
  <c r="C10" i="4"/>
  <c r="C10" i="5"/>
  <c r="G11" i="3"/>
  <c r="G11" i="4"/>
  <c r="G11" i="5"/>
  <c r="G17" i="3"/>
  <c r="G17" i="4"/>
  <c r="G17" i="5"/>
  <c r="C20" i="3"/>
  <c r="C20" i="4"/>
  <c r="C20" i="5"/>
  <c r="F5" i="3"/>
  <c r="F5" i="5"/>
  <c r="F5" i="4"/>
  <c r="D9" i="3"/>
  <c r="D9" i="5"/>
  <c r="D9" i="4"/>
  <c r="F10" i="3"/>
  <c r="F10" i="5"/>
  <c r="F10" i="4"/>
  <c r="C16" i="4"/>
  <c r="I16" i="4" s="1"/>
  <c r="C16" i="5"/>
  <c r="I16" i="5" s="1"/>
  <c r="F17" i="5"/>
  <c r="I17" i="5" s="1"/>
  <c r="F17" i="4"/>
  <c r="I17" i="4" s="1"/>
  <c r="D20" i="5"/>
  <c r="D20" i="4"/>
  <c r="G20" i="3"/>
  <c r="G20" i="4"/>
  <c r="G20" i="5"/>
  <c r="G4" i="3"/>
  <c r="G4" i="4"/>
  <c r="G4" i="5"/>
  <c r="G5" i="3"/>
  <c r="G5" i="4"/>
  <c r="G5" i="5"/>
  <c r="G7" i="3"/>
  <c r="G7" i="4"/>
  <c r="G7" i="5"/>
  <c r="G6" i="3"/>
  <c r="G6" i="4"/>
  <c r="G6" i="5"/>
  <c r="D10" i="3"/>
  <c r="D10" i="5"/>
  <c r="D10" i="4"/>
  <c r="D11" i="3"/>
  <c r="D11" i="5"/>
  <c r="D11" i="4"/>
  <c r="D14" i="3"/>
  <c r="D14" i="5"/>
  <c r="D14" i="4"/>
  <c r="F15" i="5"/>
  <c r="I15" i="5" s="1"/>
  <c r="F15" i="4"/>
  <c r="I15" i="4" s="1"/>
  <c r="D16" i="3"/>
  <c r="D16" i="5"/>
  <c r="D16" i="4"/>
  <c r="D18" i="3"/>
  <c r="D18" i="5"/>
  <c r="D18" i="4"/>
  <c r="G19" i="4"/>
  <c r="J19" i="4" s="1"/>
  <c r="G19" i="5"/>
  <c r="J19" i="5" s="1"/>
  <c r="F21" i="3"/>
  <c r="F21" i="5"/>
  <c r="F21" i="4"/>
  <c r="D21" i="5"/>
  <c r="D21" i="4"/>
  <c r="D22" i="4"/>
  <c r="D22" i="5"/>
  <c r="G21" i="3"/>
  <c r="G21" i="4"/>
  <c r="G21" i="5"/>
  <c r="B24" i="3"/>
  <c r="E24" i="4"/>
  <c r="I19" i="3"/>
  <c r="D4" i="5"/>
  <c r="D4" i="4"/>
  <c r="D5" i="3"/>
  <c r="D5" i="5"/>
  <c r="D5" i="4"/>
  <c r="J5" i="4" s="1"/>
  <c r="D6" i="3"/>
  <c r="D6" i="5"/>
  <c r="D6" i="4"/>
  <c r="F7" i="5"/>
  <c r="I7" i="5" s="1"/>
  <c r="F7" i="4"/>
  <c r="I7" i="4" s="1"/>
  <c r="G8" i="4"/>
  <c r="G8" i="5"/>
  <c r="D8" i="3"/>
  <c r="D8" i="5"/>
  <c r="D8" i="4"/>
  <c r="F9" i="5"/>
  <c r="I9" i="5" s="1"/>
  <c r="F9" i="4"/>
  <c r="I9" i="4" s="1"/>
  <c r="G12" i="4"/>
  <c r="J12" i="4" s="1"/>
  <c r="G12" i="5"/>
  <c r="J12" i="5" s="1"/>
  <c r="G13" i="3"/>
  <c r="G13" i="4"/>
  <c r="G13" i="5"/>
  <c r="G14" i="3"/>
  <c r="G14" i="4"/>
  <c r="G14" i="5"/>
  <c r="G15" i="3"/>
  <c r="G15" i="4"/>
  <c r="G15" i="5"/>
  <c r="G16" i="3"/>
  <c r="G16" i="4"/>
  <c r="G16" i="5"/>
  <c r="D17" i="3"/>
  <c r="D17" i="5"/>
  <c r="D17" i="4"/>
  <c r="G18" i="3"/>
  <c r="G18" i="4"/>
  <c r="G18" i="5"/>
  <c r="C21" i="3"/>
  <c r="C21" i="4"/>
  <c r="C21" i="5"/>
  <c r="F22" i="3"/>
  <c r="F22" i="5"/>
  <c r="F22" i="4"/>
  <c r="G22" i="3"/>
  <c r="G22" i="4"/>
  <c r="G22" i="5"/>
  <c r="H17" i="5"/>
  <c r="I12" i="4"/>
  <c r="H10" i="5"/>
  <c r="F70" i="1"/>
  <c r="F776" i="1"/>
  <c r="F4" i="3"/>
  <c r="F463" i="1"/>
  <c r="F14" i="3"/>
  <c r="I14" i="3" s="1"/>
  <c r="F579" i="1"/>
  <c r="F17" i="3"/>
  <c r="I17" i="3" s="1"/>
  <c r="G776" i="1"/>
  <c r="D4" i="3"/>
  <c r="F249" i="1"/>
  <c r="F7" i="3"/>
  <c r="I7" i="3" s="1"/>
  <c r="G269" i="1"/>
  <c r="G8" i="3"/>
  <c r="F309" i="1"/>
  <c r="F9" i="3"/>
  <c r="I9" i="3" s="1"/>
  <c r="G387" i="1"/>
  <c r="G12" i="3"/>
  <c r="J12" i="3" s="1"/>
  <c r="F196" i="1"/>
  <c r="C6" i="3"/>
  <c r="I6" i="3" s="1"/>
  <c r="F366" i="1"/>
  <c r="F11" i="3"/>
  <c r="I11" i="3" s="1"/>
  <c r="F542" i="1"/>
  <c r="C16" i="3"/>
  <c r="I16" i="3" s="1"/>
  <c r="G674" i="1"/>
  <c r="D20" i="3"/>
  <c r="F490" i="1"/>
  <c r="F15" i="3"/>
  <c r="I15" i="3" s="1"/>
  <c r="G619" i="1"/>
  <c r="G19" i="3"/>
  <c r="J19" i="3" s="1"/>
  <c r="G722" i="1"/>
  <c r="D21" i="3"/>
  <c r="G774" i="1"/>
  <c r="D22" i="3"/>
  <c r="F774" i="1"/>
  <c r="G463" i="1"/>
  <c r="G542" i="1"/>
  <c r="G598" i="1"/>
  <c r="F722" i="1"/>
  <c r="F674" i="1"/>
  <c r="G579" i="1"/>
  <c r="G490" i="1"/>
  <c r="G309" i="1"/>
  <c r="G420" i="1"/>
  <c r="G366" i="1"/>
  <c r="F337" i="1"/>
  <c r="G337" i="1"/>
  <c r="G196" i="1"/>
  <c r="G249" i="1"/>
  <c r="G166" i="1"/>
  <c r="F166" i="1"/>
  <c r="G70" i="1"/>
  <c r="J323" i="25" l="1"/>
  <c r="R24" i="31"/>
  <c r="F292" i="16"/>
  <c r="S16" i="31"/>
  <c r="T16" i="31" s="1"/>
  <c r="N24" i="31"/>
  <c r="P10" i="31"/>
  <c r="F292" i="12"/>
  <c r="S12" i="31"/>
  <c r="T12" i="31" s="1"/>
  <c r="T5" i="31"/>
  <c r="O24" i="31"/>
  <c r="P5" i="31"/>
  <c r="F292" i="19"/>
  <c r="L21" i="7"/>
  <c r="I323" i="25"/>
  <c r="E292" i="10"/>
  <c r="K6" i="7"/>
  <c r="M6" i="7" s="1"/>
  <c r="E292" i="11"/>
  <c r="K7" i="7"/>
  <c r="M7" i="7" s="1"/>
  <c r="F99" i="26"/>
  <c r="F264" i="26" s="1"/>
  <c r="G262" i="26"/>
  <c r="F292" i="8"/>
  <c r="I638" i="25"/>
  <c r="H744" i="25"/>
  <c r="E121" i="24"/>
  <c r="E123" i="24" s="1"/>
  <c r="E298" i="24" s="1"/>
  <c r="J638" i="25"/>
  <c r="F292" i="9"/>
  <c r="J8" i="4"/>
  <c r="J15" i="7"/>
  <c r="G482" i="6"/>
  <c r="G295" i="6"/>
  <c r="G352" i="6"/>
  <c r="J10" i="7"/>
  <c r="G689" i="6"/>
  <c r="J16" i="7"/>
  <c r="H295" i="6"/>
  <c r="G170" i="6"/>
  <c r="G254" i="6"/>
  <c r="J7" i="7"/>
  <c r="C19" i="7"/>
  <c r="I6" i="7"/>
  <c r="I19" i="7" s="1"/>
  <c r="H24" i="3"/>
  <c r="I21" i="4"/>
  <c r="G584" i="6"/>
  <c r="J14" i="7"/>
  <c r="G521" i="6"/>
  <c r="J13" i="7"/>
  <c r="H740" i="6"/>
  <c r="F19" i="7"/>
  <c r="I701" i="6"/>
  <c r="I740" i="6" s="1"/>
  <c r="J701" i="6"/>
  <c r="J740" i="6" s="1"/>
  <c r="G638" i="6"/>
  <c r="J430" i="6"/>
  <c r="I430" i="6"/>
  <c r="J323" i="6"/>
  <c r="I323" i="6"/>
  <c r="I386" i="6"/>
  <c r="I114" i="6"/>
  <c r="H168" i="6"/>
  <c r="H536" i="6"/>
  <c r="I213" i="6"/>
  <c r="H252" i="6"/>
  <c r="H687" i="6"/>
  <c r="J266" i="6"/>
  <c r="J295" i="6" s="1"/>
  <c r="I266" i="6"/>
  <c r="I295" i="6" s="1"/>
  <c r="H442" i="6"/>
  <c r="H350" i="6"/>
  <c r="H519" i="6"/>
  <c r="H636" i="6"/>
  <c r="H599" i="6"/>
  <c r="I201" i="6"/>
  <c r="J73" i="6"/>
  <c r="I20" i="3"/>
  <c r="J20" i="3"/>
  <c r="J17" i="4"/>
  <c r="J6" i="3"/>
  <c r="J10" i="4"/>
  <c r="I10" i="4"/>
  <c r="I5" i="3"/>
  <c r="J10" i="3"/>
  <c r="I22" i="5"/>
  <c r="I22" i="4"/>
  <c r="J5" i="3"/>
  <c r="J22" i="3"/>
  <c r="C24" i="4"/>
  <c r="I21" i="3"/>
  <c r="I21" i="5"/>
  <c r="J5" i="5"/>
  <c r="J17" i="5"/>
  <c r="J11" i="5"/>
  <c r="J9" i="3"/>
  <c r="J11" i="3"/>
  <c r="J9" i="4"/>
  <c r="H24" i="4"/>
  <c r="J21" i="3"/>
  <c r="H24" i="5"/>
  <c r="J20" i="4"/>
  <c r="I10" i="3"/>
  <c r="J17" i="3"/>
  <c r="J6" i="4"/>
  <c r="J22" i="5"/>
  <c r="J16" i="4"/>
  <c r="J11" i="4"/>
  <c r="J10" i="5"/>
  <c r="J21" i="5"/>
  <c r="J18" i="3"/>
  <c r="J14" i="3"/>
  <c r="G24" i="5"/>
  <c r="J9" i="5"/>
  <c r="I20" i="4"/>
  <c r="J15" i="5"/>
  <c r="J13" i="4"/>
  <c r="J7" i="4"/>
  <c r="I22" i="3"/>
  <c r="J15" i="4"/>
  <c r="J4" i="5"/>
  <c r="D24" i="5"/>
  <c r="J4" i="4"/>
  <c r="D24" i="4"/>
  <c r="F24" i="5"/>
  <c r="I4" i="5"/>
  <c r="J21" i="4"/>
  <c r="J18" i="5"/>
  <c r="J16" i="3"/>
  <c r="J14" i="5"/>
  <c r="J20" i="5"/>
  <c r="J8" i="5"/>
  <c r="J22" i="4"/>
  <c r="J18" i="4"/>
  <c r="J16" i="5"/>
  <c r="J14" i="4"/>
  <c r="I5" i="4"/>
  <c r="J13" i="3"/>
  <c r="J7" i="3"/>
  <c r="I5" i="5"/>
  <c r="C24" i="5"/>
  <c r="F24" i="4"/>
  <c r="I4" i="4"/>
  <c r="G24" i="3"/>
  <c r="J6" i="5"/>
  <c r="G24" i="4"/>
  <c r="I10" i="5"/>
  <c r="I20" i="5"/>
  <c r="J15" i="3"/>
  <c r="J13" i="5"/>
  <c r="J7" i="5"/>
  <c r="D24" i="3"/>
  <c r="J4" i="3"/>
  <c r="F24" i="3"/>
  <c r="I4" i="3"/>
  <c r="J8" i="3"/>
  <c r="C24" i="3"/>
  <c r="E292" i="24" l="1"/>
  <c r="P24" i="31"/>
  <c r="T24" i="31"/>
  <c r="S24" i="31"/>
  <c r="K21" i="7"/>
  <c r="C21" i="29"/>
  <c r="F121" i="24"/>
  <c r="F123" i="24" s="1"/>
  <c r="F298" i="24" s="1"/>
  <c r="G99" i="26"/>
  <c r="H742" i="6"/>
  <c r="G19" i="7"/>
  <c r="J5" i="7"/>
  <c r="J8" i="7"/>
  <c r="D19" i="7"/>
  <c r="H482" i="6"/>
  <c r="H254" i="6"/>
  <c r="H352" i="6"/>
  <c r="H689" i="6"/>
  <c r="H743" i="6"/>
  <c r="H521" i="6"/>
  <c r="H584" i="6"/>
  <c r="J350" i="6"/>
  <c r="J352" i="6" s="1"/>
  <c r="I350" i="6"/>
  <c r="I352" i="6" s="1"/>
  <c r="J442" i="6"/>
  <c r="J482" i="6" s="1"/>
  <c r="I442" i="6"/>
  <c r="I482" i="6" s="1"/>
  <c r="J687" i="6"/>
  <c r="J689" i="6" s="1"/>
  <c r="I687" i="6"/>
  <c r="I689" i="6" s="1"/>
  <c r="J536" i="6"/>
  <c r="J584" i="6" s="1"/>
  <c r="I536" i="6"/>
  <c r="I584" i="6" s="1"/>
  <c r="J636" i="6"/>
  <c r="I636" i="6"/>
  <c r="J213" i="6"/>
  <c r="J252" i="6" s="1"/>
  <c r="J254" i="6" s="1"/>
  <c r="I252" i="6"/>
  <c r="I254" i="6" s="1"/>
  <c r="J114" i="6"/>
  <c r="J168" i="6" s="1"/>
  <c r="I168" i="6"/>
  <c r="J599" i="6"/>
  <c r="I599" i="6"/>
  <c r="J519" i="6"/>
  <c r="J521" i="6" s="1"/>
  <c r="I519" i="6"/>
  <c r="I521" i="6" s="1"/>
  <c r="H170" i="6"/>
  <c r="H638" i="6"/>
  <c r="I24" i="3"/>
  <c r="I24" i="4"/>
  <c r="J24" i="4"/>
  <c r="I24" i="5"/>
  <c r="J24" i="3"/>
  <c r="J24" i="5"/>
  <c r="F292" i="24" l="1"/>
  <c r="M21" i="7"/>
  <c r="G264" i="26"/>
  <c r="J19" i="7"/>
  <c r="H744" i="6"/>
  <c r="L19" i="7"/>
  <c r="K19" i="7"/>
  <c r="I638" i="6"/>
  <c r="J638" i="6"/>
  <c r="I170" i="6"/>
  <c r="J170" i="6"/>
  <c r="M19" i="7" l="1"/>
</calcChain>
</file>

<file path=xl/sharedStrings.xml><?xml version="1.0" encoding="utf-8"?>
<sst xmlns="http://schemas.openxmlformats.org/spreadsheetml/2006/main" count="19475" uniqueCount="3550">
  <si>
    <t xml:space="preserve"> </t>
  </si>
  <si>
    <t>0002/0300/0000</t>
  </si>
  <si>
    <t xml:space="preserve">Vodacom contract rent;      </t>
  </si>
  <si>
    <t>0002/0500/0000</t>
  </si>
  <si>
    <t xml:space="preserve">Traffic Fine;               </t>
  </si>
  <si>
    <t>0002/0550/0000</t>
  </si>
  <si>
    <t xml:space="preserve">Dog License;                </t>
  </si>
  <si>
    <t>0002/0551/0000</t>
  </si>
  <si>
    <t xml:space="preserve">Sundry Income;              </t>
  </si>
  <si>
    <t>0002/0553/0000</t>
  </si>
  <si>
    <t>Mayoral project: Recipe Book</t>
  </si>
  <si>
    <t>0002/0554/0000</t>
  </si>
  <si>
    <t>Council: Cell Laptop Print I</t>
  </si>
  <si>
    <t>0002/0602/0000</t>
  </si>
  <si>
    <t xml:space="preserve">Eskom Commission;           </t>
  </si>
  <si>
    <t>0002/0700/0000</t>
  </si>
  <si>
    <t xml:space="preserve">Equitable Share (Inc);      </t>
  </si>
  <si>
    <t>0002/0701/0000</t>
  </si>
  <si>
    <t xml:space="preserve">Special award needed;       </t>
  </si>
  <si>
    <t>0002/0706/0000</t>
  </si>
  <si>
    <t>Equitable Share: Council All</t>
  </si>
  <si>
    <t>0002/0808/0000</t>
  </si>
  <si>
    <t xml:space="preserve">Graveplots;                 </t>
  </si>
  <si>
    <t>0002/0809/0000</t>
  </si>
  <si>
    <t xml:space="preserve">Sale of Property;           </t>
  </si>
  <si>
    <t>0002/0819/0000</t>
  </si>
  <si>
    <t>Unamortised Discount  Int. I</t>
  </si>
  <si>
    <t>0002/0820/0000</t>
  </si>
  <si>
    <t xml:space="preserve">Actuaral Gains;             </t>
  </si>
  <si>
    <t>0002/0821/0000</t>
  </si>
  <si>
    <t xml:space="preserve">Change in Fair Value;       </t>
  </si>
  <si>
    <t>0002/0900/0000</t>
  </si>
  <si>
    <t xml:space="preserve">Gains on disposal of PPE;   </t>
  </si>
  <si>
    <t>0002/3000/0000</t>
  </si>
  <si>
    <t xml:space="preserve">Salary;                     </t>
  </si>
  <si>
    <t>0002/3001/0000</t>
  </si>
  <si>
    <t xml:space="preserve">Bonus;                      </t>
  </si>
  <si>
    <t>0002/3002/0000</t>
  </si>
  <si>
    <t xml:space="preserve">Overtime;                   </t>
  </si>
  <si>
    <t>0002/3003/0000</t>
  </si>
  <si>
    <t xml:space="preserve">Travelling Allowance;       </t>
  </si>
  <si>
    <t>0002/3050/0000</t>
  </si>
  <si>
    <t xml:space="preserve">Pensionfund;                </t>
  </si>
  <si>
    <t>0002/3051/0000</t>
  </si>
  <si>
    <t xml:space="preserve">UIF;                        </t>
  </si>
  <si>
    <t>0002/3052/0000</t>
  </si>
  <si>
    <t xml:space="preserve">Bargaining Council;         </t>
  </si>
  <si>
    <t>0002/3053/0000</t>
  </si>
  <si>
    <t xml:space="preserve">Medical Aid;                </t>
  </si>
  <si>
    <t>0002/3056/0000</t>
  </si>
  <si>
    <t xml:space="preserve">Skills Development;         </t>
  </si>
  <si>
    <t>0002/3058/0000</t>
  </si>
  <si>
    <t xml:space="preserve">Leave Fund;                 </t>
  </si>
  <si>
    <t>0002/3100/0000</t>
  </si>
  <si>
    <t xml:space="preserve">Councillor Allowance;       </t>
  </si>
  <si>
    <t>0002/3101/0000</t>
  </si>
  <si>
    <t xml:space="preserve">Council Subsidy;            </t>
  </si>
  <si>
    <t>0002/3102/0000</t>
  </si>
  <si>
    <t xml:space="preserve">Cell Phone Allowance;       </t>
  </si>
  <si>
    <t>0002/3104/0000</t>
  </si>
  <si>
    <t xml:space="preserve">Travelling: Ward Committee; </t>
  </si>
  <si>
    <t>0002/3105/0000</t>
  </si>
  <si>
    <t xml:space="preserve">Ward Commitee Cost;         </t>
  </si>
  <si>
    <t>0002/3200/0000</t>
  </si>
  <si>
    <t xml:space="preserve">Depreciation;               </t>
  </si>
  <si>
    <t>0002/3201/0000</t>
  </si>
  <si>
    <t xml:space="preserve">Amortisation;               </t>
  </si>
  <si>
    <t>0002/3202/0000</t>
  </si>
  <si>
    <t xml:space="preserve">Impairment of Assets;       </t>
  </si>
  <si>
    <t>0002/3302/0000</t>
  </si>
  <si>
    <t>Actuaral Interest-  Expense;</t>
  </si>
  <si>
    <t>0002/3303/0000</t>
  </si>
  <si>
    <t>Finance Lease Interest Expen</t>
  </si>
  <si>
    <t>0002/3550/0000</t>
  </si>
  <si>
    <t xml:space="preserve">Grants and Donations;       </t>
  </si>
  <si>
    <t>0002/3600/0000</t>
  </si>
  <si>
    <t xml:space="preserve">Funerals;                   </t>
  </si>
  <si>
    <t>0002/3601/0000</t>
  </si>
  <si>
    <t xml:space="preserve">Congresses and Memberfees;  </t>
  </si>
  <si>
    <t>0002/3602/0000</t>
  </si>
  <si>
    <t xml:space="preserve">Auditfees;                  </t>
  </si>
  <si>
    <t>0002/3603/0000</t>
  </si>
  <si>
    <t xml:space="preserve">Internal Audit;             </t>
  </si>
  <si>
    <t>0002/3604/0000</t>
  </si>
  <si>
    <t xml:space="preserve">Valuations ;                </t>
  </si>
  <si>
    <t>0002/3606/0000</t>
  </si>
  <si>
    <t xml:space="preserve">Entertainment Costs;        </t>
  </si>
  <si>
    <t>0002/3608/0000</t>
  </si>
  <si>
    <t xml:space="preserve">Regional Services levy;     </t>
  </si>
  <si>
    <t>0002/3610/0000</t>
  </si>
  <si>
    <t xml:space="preserve">Insurance;                  </t>
  </si>
  <si>
    <t>0002/3612/0000</t>
  </si>
  <si>
    <t xml:space="preserve">Stationary;                 </t>
  </si>
  <si>
    <t>0002/3613/0000</t>
  </si>
  <si>
    <t xml:space="preserve">Telephone;                  </t>
  </si>
  <si>
    <t>0002/3627/0000</t>
  </si>
  <si>
    <t xml:space="preserve">Dog Licence;                </t>
  </si>
  <si>
    <t>0002/3638/0000</t>
  </si>
  <si>
    <t xml:space="preserve">Travelling Cost;            </t>
  </si>
  <si>
    <t>0002/3645/0000</t>
  </si>
  <si>
    <t>Council: cell,laptop,print E</t>
  </si>
  <si>
    <t>0002/3646/0000</t>
  </si>
  <si>
    <t>Travelling: Muncipal Manager</t>
  </si>
  <si>
    <t>0002/3663/0000</t>
  </si>
  <si>
    <t xml:space="preserve">Heraldic;                   </t>
  </si>
  <si>
    <t>0002/3664/0000</t>
  </si>
  <si>
    <t xml:space="preserve">Mayors Projects;            </t>
  </si>
  <si>
    <t>0002/3680/0000</t>
  </si>
  <si>
    <t xml:space="preserve">Actuaral Losses;            </t>
  </si>
  <si>
    <t>0002/3681/0000</t>
  </si>
  <si>
    <t>Unamortised discount- Int Ex</t>
  </si>
  <si>
    <t>0002/3682/0000</t>
  </si>
  <si>
    <t xml:space="preserve">Mayoral Project Bricks;     </t>
  </si>
  <si>
    <t>0002/3757/0000</t>
  </si>
  <si>
    <t>Maintenance Photostat - Fax;</t>
  </si>
  <si>
    <t>0002/3758/0000</t>
  </si>
  <si>
    <t xml:space="preserve">Maintenance - Computer;     </t>
  </si>
  <si>
    <t>0002/3808/0000</t>
  </si>
  <si>
    <t xml:space="preserve">IOT Geysers Project Exp;    </t>
  </si>
  <si>
    <t>0002/3900/0000</t>
  </si>
  <si>
    <t xml:space="preserve">Loss on Disposal of PPE;    </t>
  </si>
  <si>
    <t>0002/4001/0000</t>
  </si>
  <si>
    <t xml:space="preserve">Internal Recoveries;        </t>
  </si>
  <si>
    <t>0002/4400/0000</t>
  </si>
  <si>
    <t xml:space="preserve">Contributed PPE;            </t>
  </si>
  <si>
    <t>0020/0307/0000</t>
  </si>
  <si>
    <t xml:space="preserve">Deposito's Saalhuur;        </t>
  </si>
  <si>
    <t>0020/0308/0000</t>
  </si>
  <si>
    <t xml:space="preserve">Managers Vehicle Insurance; </t>
  </si>
  <si>
    <t>0020/0309/0000</t>
  </si>
  <si>
    <t xml:space="preserve">F Lotter - Payback;         </t>
  </si>
  <si>
    <t>0020/0310/0000</t>
  </si>
  <si>
    <t xml:space="preserve">Advertisement Boards;       </t>
  </si>
  <si>
    <t>0020/0311/0000</t>
  </si>
  <si>
    <t xml:space="preserve">Sanlam Debits Pay back;     </t>
  </si>
  <si>
    <t>0020/0350/0000</t>
  </si>
  <si>
    <t xml:space="preserve">Interest Received;          </t>
  </si>
  <si>
    <t>0020/0400/0000</t>
  </si>
  <si>
    <t xml:space="preserve">Interest on Late Accounts;  </t>
  </si>
  <si>
    <t>0020/0550/0000</t>
  </si>
  <si>
    <t>0020/0555/0000</t>
  </si>
  <si>
    <t xml:space="preserve">Post emp Med aid -Incoiced; </t>
  </si>
  <si>
    <t>0020/0600/0000</t>
  </si>
  <si>
    <t xml:space="preserve">Motor Vehicle Registration; </t>
  </si>
  <si>
    <t>0020/0601/0000</t>
  </si>
  <si>
    <t xml:space="preserve">Natis Commission Receive;   </t>
  </si>
  <si>
    <t>0020/0603/0000</t>
  </si>
  <si>
    <t xml:space="preserve">License Disc Sales;         </t>
  </si>
  <si>
    <t>0020/0604/0000</t>
  </si>
  <si>
    <t>License Disc Postage money I</t>
  </si>
  <si>
    <t>0020/0605/0000</t>
  </si>
  <si>
    <t xml:space="preserve">Natis Transaction Fee;      </t>
  </si>
  <si>
    <t>0020/0606/0000</t>
  </si>
  <si>
    <t>Natis OtherTrans eg. permits</t>
  </si>
  <si>
    <t>0020/0610/0000</t>
  </si>
  <si>
    <t xml:space="preserve">Old Mutual Commission;      </t>
  </si>
  <si>
    <t>0020/0704/0000</t>
  </si>
  <si>
    <t>Fin Management Grant(MFMA)-I</t>
  </si>
  <si>
    <t>0020/0708/0000</t>
  </si>
  <si>
    <t xml:space="preserve">REVENUE LG SETA;            </t>
  </si>
  <si>
    <t>0020/0710/0000</t>
  </si>
  <si>
    <t>Mun System Infras Grant(Inc)</t>
  </si>
  <si>
    <t>0020/0711/0000</t>
  </si>
  <si>
    <t xml:space="preserve">Mun  Infras Grant (Inc);    </t>
  </si>
  <si>
    <t>0020/0712/0000</t>
  </si>
  <si>
    <t>District Mun Surplus Funds(I</t>
  </si>
  <si>
    <t>0020/0713/0000</t>
  </si>
  <si>
    <t>Expanded Public Work Proj(In</t>
  </si>
  <si>
    <t>0020/0714/0000</t>
  </si>
  <si>
    <t>Library Development Grant(In</t>
  </si>
  <si>
    <t>0020/0715/0000</t>
  </si>
  <si>
    <t xml:space="preserve">NALA Project (Inc);         </t>
  </si>
  <si>
    <t>0020/0716/0000</t>
  </si>
  <si>
    <t>IntNat Elec Prg Mun Grant In</t>
  </si>
  <si>
    <t>0020/0717/0000</t>
  </si>
  <si>
    <t xml:space="preserve">Housing project (Inc);      </t>
  </si>
  <si>
    <t>0020/0806/0000</t>
  </si>
  <si>
    <t xml:space="preserve">Fotostats;                  </t>
  </si>
  <si>
    <t>0020/0807/0000</t>
  </si>
  <si>
    <t xml:space="preserve">Telephone &amp; Fax;            </t>
  </si>
  <si>
    <t>0020/0810/0000</t>
  </si>
  <si>
    <t>Rates Clearance Certificate;</t>
  </si>
  <si>
    <t>0020/0812/0000</t>
  </si>
  <si>
    <t xml:space="preserve">Cash Surplus;               </t>
  </si>
  <si>
    <t>0020/0814/0000</t>
  </si>
  <si>
    <t xml:space="preserve">Revenue SARS;               </t>
  </si>
  <si>
    <t>0020/0821/0000</t>
  </si>
  <si>
    <t>0020/0822/0000</t>
  </si>
  <si>
    <t xml:space="preserve">Legal Fees receive (Inc);   </t>
  </si>
  <si>
    <t>0020/0823/0000</t>
  </si>
  <si>
    <t>Insurance Claim Receive Inc;</t>
  </si>
  <si>
    <t>0020/0900/0000</t>
  </si>
  <si>
    <t>0020/3000/0000</t>
  </si>
  <si>
    <t>0020/3001/0000</t>
  </si>
  <si>
    <t>0020/3002/0000</t>
  </si>
  <si>
    <t>0020/3003/0000</t>
  </si>
  <si>
    <t>0020/3005/0000</t>
  </si>
  <si>
    <t xml:space="preserve">Acting Allowance;           </t>
  </si>
  <si>
    <t>0020/3050/0000</t>
  </si>
  <si>
    <t>0020/3051/0000</t>
  </si>
  <si>
    <t>0020/3052/0000</t>
  </si>
  <si>
    <t>0020/3053/0000</t>
  </si>
  <si>
    <t>0020/3056/0000</t>
  </si>
  <si>
    <t>0020/3058/0000</t>
  </si>
  <si>
    <t>0020/3059/0000</t>
  </si>
  <si>
    <t xml:space="preserve">Post Emp Medical Expenses;  </t>
  </si>
  <si>
    <t>0020/3060/0000</t>
  </si>
  <si>
    <t xml:space="preserve">Long Service Award Expense; </t>
  </si>
  <si>
    <t>0020/3150/0000</t>
  </si>
  <si>
    <t xml:space="preserve">Irrecoverable Debt;         </t>
  </si>
  <si>
    <t>0020/3200/0000</t>
  </si>
  <si>
    <t>0020/3201/0000</t>
  </si>
  <si>
    <t>0020/3202/0000</t>
  </si>
  <si>
    <t>0020/3300/0000</t>
  </si>
  <si>
    <t xml:space="preserve">Bank Overdraft Interest;    </t>
  </si>
  <si>
    <t>0020/3607/0000</t>
  </si>
  <si>
    <t xml:space="preserve">LG SETA SKILLS DEVELOPMENT; </t>
  </si>
  <si>
    <t>0020/3610/0000</t>
  </si>
  <si>
    <t>0020/3612/0000</t>
  </si>
  <si>
    <t>0020/3613/0000</t>
  </si>
  <si>
    <t>0020/3617/0000</t>
  </si>
  <si>
    <t xml:space="preserve">Bank Charges;               </t>
  </si>
  <si>
    <t>0020/3619/0000</t>
  </si>
  <si>
    <t xml:space="preserve">Legal Fees;                 </t>
  </si>
  <si>
    <t>0020/3624/0000</t>
  </si>
  <si>
    <t xml:space="preserve">Deeds;                      </t>
  </si>
  <si>
    <t>0020/3630/0000</t>
  </si>
  <si>
    <t xml:space="preserve">Miscellaneous;              </t>
  </si>
  <si>
    <t>0020/3638/0000</t>
  </si>
  <si>
    <t>0020/3639/0000</t>
  </si>
  <si>
    <t xml:space="preserve">Collections Costs;          </t>
  </si>
  <si>
    <t>0020/3642/0000</t>
  </si>
  <si>
    <t xml:space="preserve">Commision Prepaid sales;    </t>
  </si>
  <si>
    <t>0020/3643/0000</t>
  </si>
  <si>
    <t xml:space="preserve">Huur ABSA Bank;             </t>
  </si>
  <si>
    <t>0020/3644/0000</t>
  </si>
  <si>
    <t xml:space="preserve">Computer Lisence;           </t>
  </si>
  <si>
    <t>0020/3671/0000</t>
  </si>
  <si>
    <t xml:space="preserve">Internal - Redemption;      </t>
  </si>
  <si>
    <t>0020/3672/0000</t>
  </si>
  <si>
    <t xml:space="preserve">Internal - Interest;        </t>
  </si>
  <si>
    <t>0020/3676/0000</t>
  </si>
  <si>
    <t>Miscellaneous Capital items;</t>
  </si>
  <si>
    <t>0020/3683/0000</t>
  </si>
  <si>
    <t xml:space="preserve">Postage Money Paid;         </t>
  </si>
  <si>
    <t>0020/3684/0000</t>
  </si>
  <si>
    <t>Interest paid on Invoice rec</t>
  </si>
  <si>
    <t>0020/3750/0000</t>
  </si>
  <si>
    <t xml:space="preserve">Maintenance Fotostat/Fax;   </t>
  </si>
  <si>
    <t>0020/3751/0000</t>
  </si>
  <si>
    <t xml:space="preserve">Maintenance Computers;      </t>
  </si>
  <si>
    <t>0020/3757/0000</t>
  </si>
  <si>
    <t>0020/3758/0000</t>
  </si>
  <si>
    <t>0020/3800/0000</t>
  </si>
  <si>
    <t>Financial Management Support</t>
  </si>
  <si>
    <t>0020/3801/0000</t>
  </si>
  <si>
    <t xml:space="preserve">LG SETA Skills development; </t>
  </si>
  <si>
    <t>0020/3802/0000</t>
  </si>
  <si>
    <t>Mun System  Infras Grant (Ex</t>
  </si>
  <si>
    <t>0020/3803/0000</t>
  </si>
  <si>
    <t xml:space="preserve">Mun  Infras Grant (Exp);    </t>
  </si>
  <si>
    <t>0020/3804/0000</t>
  </si>
  <si>
    <t>District Mun Surplus Funds(E</t>
  </si>
  <si>
    <t>0020/3805/0000</t>
  </si>
  <si>
    <t>Expanded Public Work Proj(Ex</t>
  </si>
  <si>
    <t>0020/3806/0000</t>
  </si>
  <si>
    <t>Library Development Grant(Ex</t>
  </si>
  <si>
    <t>0020/3807/0000</t>
  </si>
  <si>
    <t xml:space="preserve">NALA Project (Exp);         </t>
  </si>
  <si>
    <t>0020/3809/0000</t>
  </si>
  <si>
    <t>IntNat Elec Prg Mun Grant Ex</t>
  </si>
  <si>
    <t>0020/3810/0000</t>
  </si>
  <si>
    <t xml:space="preserve">Housing Project (Exp);      </t>
  </si>
  <si>
    <t>0020/3900/0000</t>
  </si>
  <si>
    <t>0020/4001/0000</t>
  </si>
  <si>
    <t>0020/4400/0000</t>
  </si>
  <si>
    <t>0021/0001/0000</t>
  </si>
  <si>
    <t xml:space="preserve">Rates;                      </t>
  </si>
  <si>
    <t>0021/0009/0000</t>
  </si>
  <si>
    <t>Rates:  Williston Agricultur</t>
  </si>
  <si>
    <t>0021/0100/0000</t>
  </si>
  <si>
    <t xml:space="preserve">Rebates: Farms;             </t>
  </si>
  <si>
    <t>0021/0101/0000</t>
  </si>
  <si>
    <t>Rebates: Gov schools domesti</t>
  </si>
  <si>
    <t>0021/0102/0000</t>
  </si>
  <si>
    <t>Rebate: Residential/Indigent</t>
  </si>
  <si>
    <t>0021/0103/0000</t>
  </si>
  <si>
    <t>Rebate : 2.5% Before 30 Sept</t>
  </si>
  <si>
    <t>0021/0150/0000</t>
  </si>
  <si>
    <t xml:space="preserve">Interest on Rates;          </t>
  </si>
  <si>
    <t>0021/0801/0000</t>
  </si>
  <si>
    <t xml:space="preserve">Encroachment Fees;          </t>
  </si>
  <si>
    <t>0021/0802/0000</t>
  </si>
  <si>
    <t xml:space="preserve">Building Plan Fees;         </t>
  </si>
  <si>
    <t>0021/0821/0000</t>
  </si>
  <si>
    <t>0021/0900/0000</t>
  </si>
  <si>
    <t>0021/3058/0000</t>
  </si>
  <si>
    <t>0021/3151/0000</t>
  </si>
  <si>
    <t xml:space="preserve">Contribution to funds;      </t>
  </si>
  <si>
    <t>0021/3200/0000</t>
  </si>
  <si>
    <t>0021/3201/0000</t>
  </si>
  <si>
    <t>0021/3202/0000</t>
  </si>
  <si>
    <t>0021/3655/0000</t>
  </si>
  <si>
    <t xml:space="preserve">Valuation court costs;      </t>
  </si>
  <si>
    <t>0021/3656/0000</t>
  </si>
  <si>
    <t xml:space="preserve">Revaluation costs;          </t>
  </si>
  <si>
    <t>0021/3760/0000</t>
  </si>
  <si>
    <t>Farmers Levy  Rates re payme</t>
  </si>
  <si>
    <t>0021/3761/0000</t>
  </si>
  <si>
    <t xml:space="preserve">Contr. to farmers union;    </t>
  </si>
  <si>
    <t>0021/3900/0000</t>
  </si>
  <si>
    <t>0021/4400/0000</t>
  </si>
  <si>
    <t>0070/0307/0000</t>
  </si>
  <si>
    <t>0070/0350/0000</t>
  </si>
  <si>
    <t>0070/0552/0000</t>
  </si>
  <si>
    <t xml:space="preserve">Hawker Fees;                </t>
  </si>
  <si>
    <t>0070/0815/0000</t>
  </si>
  <si>
    <t xml:space="preserve">Land Use Planning;          </t>
  </si>
  <si>
    <t>0070/0821/0000</t>
  </si>
  <si>
    <t>0070/0900/0000</t>
  </si>
  <si>
    <t>0070/3000/0000</t>
  </si>
  <si>
    <t>0070/3001/0000</t>
  </si>
  <si>
    <t>0070/3002/0000</t>
  </si>
  <si>
    <t>0070/3003/0000</t>
  </si>
  <si>
    <t>0070/3005/0000</t>
  </si>
  <si>
    <t>0070/3050/0000</t>
  </si>
  <si>
    <t>0070/3051/0000</t>
  </si>
  <si>
    <t>0070/3052/0000</t>
  </si>
  <si>
    <t>0070/3053/0000</t>
  </si>
  <si>
    <t>0070/3056/0000</t>
  </si>
  <si>
    <t>0070/3057/0000</t>
  </si>
  <si>
    <t xml:space="preserve">Housing Subsidy;            </t>
  </si>
  <si>
    <t>0070/3058/0000</t>
  </si>
  <si>
    <t>0070/3200/0000</t>
  </si>
  <si>
    <t>0070/3201/0000</t>
  </si>
  <si>
    <t>0070/3202/0000</t>
  </si>
  <si>
    <t>0070/3610/0000</t>
  </si>
  <si>
    <t>0070/3612/0000</t>
  </si>
  <si>
    <t>0070/3613/0000</t>
  </si>
  <si>
    <t>0070/3614/0000</t>
  </si>
  <si>
    <t xml:space="preserve">Postal Bag Rent;            </t>
  </si>
  <si>
    <t>0070/3615/0000</t>
  </si>
  <si>
    <t xml:space="preserve">Radiolicense;               </t>
  </si>
  <si>
    <t>0070/3616/0000</t>
  </si>
  <si>
    <t xml:space="preserve">Advertisement;              </t>
  </si>
  <si>
    <t>0070/3618/0000</t>
  </si>
  <si>
    <t xml:space="preserve">Townplanning;               </t>
  </si>
  <si>
    <t>0070/3619/0000</t>
  </si>
  <si>
    <t>0070/3621/0000</t>
  </si>
  <si>
    <t xml:space="preserve">Refreshments /Tee;          </t>
  </si>
  <si>
    <t>0070/3637/0000</t>
  </si>
  <si>
    <t xml:space="preserve">Courier Services;           </t>
  </si>
  <si>
    <t>0070/3638/0000</t>
  </si>
  <si>
    <t>0070/3646/0000</t>
  </si>
  <si>
    <t>0070/3648/0000</t>
  </si>
  <si>
    <t xml:space="preserve">Disciplinary Hearings;      </t>
  </si>
  <si>
    <t>0070/3665/0000</t>
  </si>
  <si>
    <t xml:space="preserve">Land Use Plan;              </t>
  </si>
  <si>
    <t>0070/3666/0000</t>
  </si>
  <si>
    <t xml:space="preserve">Public Protection;          </t>
  </si>
  <si>
    <t>0070/3671/0000</t>
  </si>
  <si>
    <t>0070/3672/0000</t>
  </si>
  <si>
    <t>0070/3683/0000</t>
  </si>
  <si>
    <t>0070/3750/0000</t>
  </si>
  <si>
    <t>0070/3751/0000</t>
  </si>
  <si>
    <t>0070/3900/0000</t>
  </si>
  <si>
    <t>0070/4001/0000</t>
  </si>
  <si>
    <t>0070/4101/0000</t>
  </si>
  <si>
    <t xml:space="preserve">Municipal Services (Acc);   </t>
  </si>
  <si>
    <t>0070/4400/0000</t>
  </si>
  <si>
    <t>0071/0707/0000</t>
  </si>
  <si>
    <t xml:space="preserve">Museum Donations;           </t>
  </si>
  <si>
    <t>0071/0821/0000</t>
  </si>
  <si>
    <t>0071/0900/0000</t>
  </si>
  <si>
    <t>0071/3000/0000</t>
  </si>
  <si>
    <t>0071/3002/0000</t>
  </si>
  <si>
    <t>0071/3058/0000</t>
  </si>
  <si>
    <t>0071/3200/0000</t>
  </si>
  <si>
    <t>0071/3201/0000</t>
  </si>
  <si>
    <t>0071/3202/0000</t>
  </si>
  <si>
    <t>0071/3604/0000</t>
  </si>
  <si>
    <t>0071/3900/0000</t>
  </si>
  <si>
    <t>0071/4400/0000</t>
  </si>
  <si>
    <t>0100/0301/0000</t>
  </si>
  <si>
    <t xml:space="preserve">Library Hall;               </t>
  </si>
  <si>
    <t>0100/0307/0000</t>
  </si>
  <si>
    <t>0100/0501/0000</t>
  </si>
  <si>
    <t xml:space="preserve">Library Fines;              </t>
  </si>
  <si>
    <t>0100/0705/0000</t>
  </si>
  <si>
    <t xml:space="preserve">Library Subsidy;            </t>
  </si>
  <si>
    <t>0100/0813/0000</t>
  </si>
  <si>
    <t xml:space="preserve">Library Lost Books;         </t>
  </si>
  <si>
    <t>0100/0821/0000</t>
  </si>
  <si>
    <t>0100/0900/0000</t>
  </si>
  <si>
    <t>0100/3000/0000</t>
  </si>
  <si>
    <t>0100/3001/0000</t>
  </si>
  <si>
    <t>0100/3002/0000</t>
  </si>
  <si>
    <t>0100/3050/0000</t>
  </si>
  <si>
    <t>0100/3051/0000</t>
  </si>
  <si>
    <t>0100/3052/0000</t>
  </si>
  <si>
    <t>0100/3053/0000</t>
  </si>
  <si>
    <t>0100/3056/0000</t>
  </si>
  <si>
    <t>0100/3057/0000</t>
  </si>
  <si>
    <t>0100/3058/0000</t>
  </si>
  <si>
    <t>0100/3200/0000</t>
  </si>
  <si>
    <t>0100/3201/0000</t>
  </si>
  <si>
    <t>0100/3202/0000</t>
  </si>
  <si>
    <t>0100/3550/0000</t>
  </si>
  <si>
    <t>0100/3610/0000</t>
  </si>
  <si>
    <t>0100/3613/0000</t>
  </si>
  <si>
    <t>0100/3623/0000</t>
  </si>
  <si>
    <t xml:space="preserve">Lost Books;                 </t>
  </si>
  <si>
    <t>0100/3638/0000</t>
  </si>
  <si>
    <t>0100/3640/0000</t>
  </si>
  <si>
    <t xml:space="preserve">Newspapers;                 </t>
  </si>
  <si>
    <t>0100/3750/0000</t>
  </si>
  <si>
    <t>0100/3754/0000</t>
  </si>
  <si>
    <t xml:space="preserve">Maintenance- General;       </t>
  </si>
  <si>
    <t>0100/3900/0000</t>
  </si>
  <si>
    <t>0100/4002/0000</t>
  </si>
  <si>
    <t xml:space="preserve">Munisipal Services;         </t>
  </si>
  <si>
    <t>0100/4101/0000</t>
  </si>
  <si>
    <t>0100/4400/0000</t>
  </si>
  <si>
    <t>0110/0302/0000</t>
  </si>
  <si>
    <t xml:space="preserve">Commonage Rent;             </t>
  </si>
  <si>
    <t>0110/0307/0000</t>
  </si>
  <si>
    <t>0110/0821/0000</t>
  </si>
  <si>
    <t>0110/0900/0000</t>
  </si>
  <si>
    <t>0110/3000/0000</t>
  </si>
  <si>
    <t>0110/3001/0000</t>
  </si>
  <si>
    <t>0110/3002/0000</t>
  </si>
  <si>
    <t>0110/3050/0000</t>
  </si>
  <si>
    <t>0110/3051/0000</t>
  </si>
  <si>
    <t>0110/3052/0000</t>
  </si>
  <si>
    <t>0110/3056/0000</t>
  </si>
  <si>
    <t>0110/3058/0000</t>
  </si>
  <si>
    <t>0110/3200/0000</t>
  </si>
  <si>
    <t>0110/3201/0000</t>
  </si>
  <si>
    <t>0110/3202/0000</t>
  </si>
  <si>
    <t>0110/3611/0000</t>
  </si>
  <si>
    <t xml:space="preserve">Overall;                    </t>
  </si>
  <si>
    <t>0110/3754/0000</t>
  </si>
  <si>
    <t>0110/3900/0000</t>
  </si>
  <si>
    <t>0110/4101/0000</t>
  </si>
  <si>
    <t>0110/4400/0000</t>
  </si>
  <si>
    <t>0111/0305/0000</t>
  </si>
  <si>
    <t xml:space="preserve">Municipal Housing Rent;     </t>
  </si>
  <si>
    <t>0111/0306/0000</t>
  </si>
  <si>
    <t xml:space="preserve">Hire Halls;                 </t>
  </si>
  <si>
    <t>0111/0307/0000</t>
  </si>
  <si>
    <t>0111/0821/0000</t>
  </si>
  <si>
    <t>0111/0900/0000</t>
  </si>
  <si>
    <t>0111/3000/0000</t>
  </si>
  <si>
    <t>0111/3002/0000</t>
  </si>
  <si>
    <t>0111/3058/0000</t>
  </si>
  <si>
    <t>0111/3200/0000</t>
  </si>
  <si>
    <t>0111/3201/0000</t>
  </si>
  <si>
    <t>0111/3202/0000</t>
  </si>
  <si>
    <t>0111/3635/0000</t>
  </si>
  <si>
    <t xml:space="preserve">Cleansing Materials ;       </t>
  </si>
  <si>
    <t>0111/3671/0000</t>
  </si>
  <si>
    <t>0111/3672/0000</t>
  </si>
  <si>
    <t>0111/3676/0000</t>
  </si>
  <si>
    <t>0111/3754/0000</t>
  </si>
  <si>
    <t>0111/3756/0000</t>
  </si>
  <si>
    <t xml:space="preserve">Reparation;                 </t>
  </si>
  <si>
    <t>0111/3900/0000</t>
  </si>
  <si>
    <t>0111/4002/0000</t>
  </si>
  <si>
    <t>0111/4101/0000</t>
  </si>
  <si>
    <t>0111/4400/0000</t>
  </si>
  <si>
    <t>0112/0821/0000</t>
  </si>
  <si>
    <t>0112/0900/0000</t>
  </si>
  <si>
    <t>0112/3000/0000</t>
  </si>
  <si>
    <t>0112/3002/0000</t>
  </si>
  <si>
    <t>0112/3058/0000</t>
  </si>
  <si>
    <t>0112/3200/0000</t>
  </si>
  <si>
    <t>0112/3201/0000</t>
  </si>
  <si>
    <t>0112/3202/0000</t>
  </si>
  <si>
    <t>0112/3674/0000</t>
  </si>
  <si>
    <t xml:space="preserve">Mnet Shuttle Fraserburg;    </t>
  </si>
  <si>
    <t>0112/3675/0000</t>
  </si>
  <si>
    <t xml:space="preserve">Mnet Upgrade;               </t>
  </si>
  <si>
    <t>0112/3754/0000</t>
  </si>
  <si>
    <t>0112/3900/0000</t>
  </si>
  <si>
    <t>0112/4400/0000</t>
  </si>
  <si>
    <t>0115/0307/0000</t>
  </si>
  <si>
    <t>0115/0808/0000</t>
  </si>
  <si>
    <t>0115/0821/0000</t>
  </si>
  <si>
    <t>0115/0900/0000</t>
  </si>
  <si>
    <t>0115/3000/0000</t>
  </si>
  <si>
    <t>0115/3001/0000</t>
  </si>
  <si>
    <t>0115/3002/0000</t>
  </si>
  <si>
    <t>0115/3003/0000</t>
  </si>
  <si>
    <t>0115/3050/0000</t>
  </si>
  <si>
    <t>0115/3051/0000</t>
  </si>
  <si>
    <t>0115/3052/0000</t>
  </si>
  <si>
    <t>0115/3056/0000</t>
  </si>
  <si>
    <t>0115/3058/0000</t>
  </si>
  <si>
    <t>0115/3200/0000</t>
  </si>
  <si>
    <t>0115/3201/0000</t>
  </si>
  <si>
    <t>0115/3202/0000</t>
  </si>
  <si>
    <t>0115/3610/0000</t>
  </si>
  <si>
    <t>0115/3611/0000</t>
  </si>
  <si>
    <t>0115/3626/0000</t>
  </si>
  <si>
    <t xml:space="preserve">EIA Costs;                  </t>
  </si>
  <si>
    <t>0115/3654/0000</t>
  </si>
  <si>
    <t xml:space="preserve">Graveyard Extention;        </t>
  </si>
  <si>
    <t>0115/3676/0000</t>
  </si>
  <si>
    <t>0115/3754/0000</t>
  </si>
  <si>
    <t>0115/3900/0000</t>
  </si>
  <si>
    <t>0115/4101/0000</t>
  </si>
  <si>
    <t>0115/4400/0000</t>
  </si>
  <si>
    <t>0140/0303/0000</t>
  </si>
  <si>
    <t xml:space="preserve">Caravan Fees;               </t>
  </si>
  <si>
    <t>0140/0304/0000</t>
  </si>
  <si>
    <t xml:space="preserve">Sport hall/grounds Rent;    </t>
  </si>
  <si>
    <t>0140/0307/0000</t>
  </si>
  <si>
    <t>0140/0804/0000</t>
  </si>
  <si>
    <t xml:space="preserve">Swimming Pool Fees;         </t>
  </si>
  <si>
    <t>0140/0821/0000</t>
  </si>
  <si>
    <t>0140/0900/0000</t>
  </si>
  <si>
    <t>0140/3000/0000</t>
  </si>
  <si>
    <t>0140/3001/0000</t>
  </si>
  <si>
    <t>0140/3002/0000</t>
  </si>
  <si>
    <t>0140/3003/0000</t>
  </si>
  <si>
    <t>0140/3004/0000</t>
  </si>
  <si>
    <t xml:space="preserve">Standby;                    </t>
  </si>
  <si>
    <t>0140/3005/0000</t>
  </si>
  <si>
    <t>0140/3050/0000</t>
  </si>
  <si>
    <t>0140/3051/0000</t>
  </si>
  <si>
    <t>0140/3052/0000</t>
  </si>
  <si>
    <t>0140/3053/0000</t>
  </si>
  <si>
    <t>0140/3056/0000</t>
  </si>
  <si>
    <t>0140/3057/0000</t>
  </si>
  <si>
    <t>0140/3058/0000</t>
  </si>
  <si>
    <t>0140/3200/0000</t>
  </si>
  <si>
    <t>0140/3201/0000</t>
  </si>
  <si>
    <t>0140/3202/0000</t>
  </si>
  <si>
    <t>0140/3610/0000</t>
  </si>
  <si>
    <t>0140/3611/0000</t>
  </si>
  <si>
    <t>0140/3620/0000</t>
  </si>
  <si>
    <t xml:space="preserve">Consumables;                </t>
  </si>
  <si>
    <t>0140/3622/0000</t>
  </si>
  <si>
    <t xml:space="preserve">Fuel;                       </t>
  </si>
  <si>
    <t>0140/3671/0000</t>
  </si>
  <si>
    <t>0140/3672/0000</t>
  </si>
  <si>
    <t>0140/3754/0000</t>
  </si>
  <si>
    <t>0140/3755/0000</t>
  </si>
  <si>
    <t xml:space="preserve">Maintenance  Vehicle;       </t>
  </si>
  <si>
    <t>0140/3756/0000</t>
  </si>
  <si>
    <t>0140/3900/0000</t>
  </si>
  <si>
    <t>0140/4002/0000</t>
  </si>
  <si>
    <t>0140/4101/0000</t>
  </si>
  <si>
    <t>0140/4400/0000</t>
  </si>
  <si>
    <t>0190/0702/0000</t>
  </si>
  <si>
    <t xml:space="preserve">Provincial Health Subsidy;  </t>
  </si>
  <si>
    <t>0190/0703/0000</t>
  </si>
  <si>
    <t xml:space="preserve">Project Income;             </t>
  </si>
  <si>
    <t>0190/0821/0000</t>
  </si>
  <si>
    <t>0190/0900/0000</t>
  </si>
  <si>
    <t>0190/3002/0000</t>
  </si>
  <si>
    <t>0190/3058/0000</t>
  </si>
  <si>
    <t>0190/3200/0000</t>
  </si>
  <si>
    <t>0190/3201/0000</t>
  </si>
  <si>
    <t>0190/3202/0000</t>
  </si>
  <si>
    <t>0190/3630/0000</t>
  </si>
  <si>
    <t>0190/3631/0000</t>
  </si>
  <si>
    <t xml:space="preserve">Health Officer;             </t>
  </si>
  <si>
    <t>0190/3634/0000</t>
  </si>
  <si>
    <t xml:space="preserve">Water &amp; Food Analysing;     </t>
  </si>
  <si>
    <t>0190/3635/0000</t>
  </si>
  <si>
    <t>0190/3636/0000</t>
  </si>
  <si>
    <t xml:space="preserve">Secretary Sevices;          </t>
  </si>
  <si>
    <t>0190/3801/0000</t>
  </si>
  <si>
    <t>0190/3900/0000</t>
  </si>
  <si>
    <t>0190/4000/0000</t>
  </si>
  <si>
    <t xml:space="preserve">Municipal Services Income;  </t>
  </si>
  <si>
    <t>0190/4101/0000</t>
  </si>
  <si>
    <t>0190/4400/0000</t>
  </si>
  <si>
    <t>0200/0100/0000</t>
  </si>
  <si>
    <t>0200/0307/0000</t>
  </si>
  <si>
    <t>0200/0601/0000</t>
  </si>
  <si>
    <t>0200/0707/0000</t>
  </si>
  <si>
    <t>0200/0709/0000</t>
  </si>
  <si>
    <t xml:space="preserve">TOURISM;                    </t>
  </si>
  <si>
    <t>0200/0711/0000</t>
  </si>
  <si>
    <t>0200/0821/0000</t>
  </si>
  <si>
    <t>0200/0900/0000</t>
  </si>
  <si>
    <t>0200/3000/0000</t>
  </si>
  <si>
    <t>0200/3002/0000</t>
  </si>
  <si>
    <t>0200/3058/0000</t>
  </si>
  <si>
    <t>0200/3200/0000</t>
  </si>
  <si>
    <t>0200/3201/0000</t>
  </si>
  <si>
    <t>0200/3202/0000</t>
  </si>
  <si>
    <t>0200/3551/0000</t>
  </si>
  <si>
    <t>Activity: Historical Route S</t>
  </si>
  <si>
    <t>0200/3552/0000</t>
  </si>
  <si>
    <t>Activity: Logan Art Festival</t>
  </si>
  <si>
    <t>0200/3553/0000</t>
  </si>
  <si>
    <t xml:space="preserve">Activity: Paleo ;           </t>
  </si>
  <si>
    <t>0200/3554/0000</t>
  </si>
  <si>
    <t>Attention: Williston Landbou</t>
  </si>
  <si>
    <t>0200/3555/0000</t>
  </si>
  <si>
    <t xml:space="preserve">Youth/Gende/ Disability;    </t>
  </si>
  <si>
    <t>0200/3556/0000</t>
  </si>
  <si>
    <t xml:space="preserve">Culture Festeval;           </t>
  </si>
  <si>
    <t>0200/3612/0000</t>
  </si>
  <si>
    <t>0200/3613/0000</t>
  </si>
  <si>
    <t>0200/3616/0000</t>
  </si>
  <si>
    <t>0200/3619/0000</t>
  </si>
  <si>
    <t>0200/3637/0000</t>
  </si>
  <si>
    <t>0200/3638/0000</t>
  </si>
  <si>
    <t>0200/3649/0000</t>
  </si>
  <si>
    <t xml:space="preserve">Marketing: Indaba Durban;   </t>
  </si>
  <si>
    <t>0200/3650/0000</t>
  </si>
  <si>
    <t>Marketing: Getaway Johannesb</t>
  </si>
  <si>
    <t>0200/3651/0000</t>
  </si>
  <si>
    <t xml:space="preserve">Land Reform;                </t>
  </si>
  <si>
    <t>0200/3652/0000</t>
  </si>
  <si>
    <t xml:space="preserve">Unemployment: Admin Cost;   </t>
  </si>
  <si>
    <t>0200/3653/0000</t>
  </si>
  <si>
    <t>Unemploy: Cultural Village F</t>
  </si>
  <si>
    <t>0200/3655/0000</t>
  </si>
  <si>
    <t>0200/3659/0000</t>
  </si>
  <si>
    <t xml:space="preserve">Tourism;                    </t>
  </si>
  <si>
    <t>0200/3660/0000</t>
  </si>
  <si>
    <t xml:space="preserve">Tourism Historical Route;   </t>
  </si>
  <si>
    <t>0200/3661/0000</t>
  </si>
  <si>
    <t xml:space="preserve">MRM Program;                </t>
  </si>
  <si>
    <t>0200/3662/0000</t>
  </si>
  <si>
    <t xml:space="preserve">Klipfontein Land Reform;    </t>
  </si>
  <si>
    <t>0200/3668/0000</t>
  </si>
  <si>
    <t xml:space="preserve">Sport;                      </t>
  </si>
  <si>
    <t>0200/3670/0000</t>
  </si>
  <si>
    <t xml:space="preserve">Walking With Ancestors;     </t>
  </si>
  <si>
    <t>0200/3677/0000</t>
  </si>
  <si>
    <t>Competition:  Keep Town Clea</t>
  </si>
  <si>
    <t>0200/3678/0000</t>
  </si>
  <si>
    <t xml:space="preserve">Sport Council;              </t>
  </si>
  <si>
    <t>0200/3679/0000</t>
  </si>
  <si>
    <t xml:space="preserve">Moral Regeneration;         </t>
  </si>
  <si>
    <t>0200/3900/0000</t>
  </si>
  <si>
    <t>0200/4001/0000</t>
  </si>
  <si>
    <t>0200/4400/0000</t>
  </si>
  <si>
    <t>0230/0307/0000</t>
  </si>
  <si>
    <t>0230/0821/0000</t>
  </si>
  <si>
    <t>0230/0900/0000</t>
  </si>
  <si>
    <t>0230/3000/0000</t>
  </si>
  <si>
    <t>0230/3001/0000</t>
  </si>
  <si>
    <t>0230/3002/0000</t>
  </si>
  <si>
    <t>0230/3003/0000</t>
  </si>
  <si>
    <t>0230/3004/0000</t>
  </si>
  <si>
    <t>0230/3005/0000</t>
  </si>
  <si>
    <t>0230/3050/0000</t>
  </si>
  <si>
    <t>0230/3051/0000</t>
  </si>
  <si>
    <t>0230/3052/0000</t>
  </si>
  <si>
    <t>0230/3053/0000</t>
  </si>
  <si>
    <t>0230/3056/0000</t>
  </si>
  <si>
    <t>0230/3058/0000</t>
  </si>
  <si>
    <t>0230/3200/0000</t>
  </si>
  <si>
    <t>0230/3201/0000</t>
  </si>
  <si>
    <t>0230/3202/0000</t>
  </si>
  <si>
    <t>0230/3610/0000</t>
  </si>
  <si>
    <t>0230/3611/0000</t>
  </si>
  <si>
    <t>0230/3620/0000</t>
  </si>
  <si>
    <t>0230/3622/0000</t>
  </si>
  <si>
    <t>0230/3667/0000</t>
  </si>
  <si>
    <t xml:space="preserve">Traffic Signs;              </t>
  </si>
  <si>
    <t>0230/3752/0000</t>
  </si>
  <si>
    <t xml:space="preserve">Maintenance- Equipment;     </t>
  </si>
  <si>
    <t>0230/3753/0000</t>
  </si>
  <si>
    <t xml:space="preserve">Maintenance- Vehicles;      </t>
  </si>
  <si>
    <t>0230/3754/0000</t>
  </si>
  <si>
    <t>0230/3762/0000</t>
  </si>
  <si>
    <t xml:space="preserve">Emergency Repairs - Flood;  </t>
  </si>
  <si>
    <t>0230/3900/0000</t>
  </si>
  <si>
    <t>0230/4400/0000</t>
  </si>
  <si>
    <t>0231/0821/0000</t>
  </si>
  <si>
    <t>0231/0900/0000</t>
  </si>
  <si>
    <t>0231/3000/0000</t>
  </si>
  <si>
    <t>0231/3002/0000</t>
  </si>
  <si>
    <t>0231/3058/0000</t>
  </si>
  <si>
    <t>0231/3200/0000</t>
  </si>
  <si>
    <t>0231/3201/0000</t>
  </si>
  <si>
    <t>0231/3202/0000</t>
  </si>
  <si>
    <t>0231/3900/0000</t>
  </si>
  <si>
    <t>0231/4101/0000</t>
  </si>
  <si>
    <t>0231/4400/0000</t>
  </si>
  <si>
    <t>0300/0821/0000</t>
  </si>
  <si>
    <t>0300/0900/0000</t>
  </si>
  <si>
    <t>0300/3000/0000</t>
  </si>
  <si>
    <t>0300/3002/0000</t>
  </si>
  <si>
    <t>0300/3058/0000</t>
  </si>
  <si>
    <t>0300/3200/0000</t>
  </si>
  <si>
    <t>0300/3201/0000</t>
  </si>
  <si>
    <t>0300/3202/0000</t>
  </si>
  <si>
    <t>0300/3754/0000</t>
  </si>
  <si>
    <t>0300/3900/0000</t>
  </si>
  <si>
    <t>0300/4001/0000</t>
  </si>
  <si>
    <t>0300/4101/0000</t>
  </si>
  <si>
    <t>0300/4400/0000</t>
  </si>
  <si>
    <t>0301/0200/0000</t>
  </si>
  <si>
    <t xml:space="preserve">Electricity Usage;          </t>
  </si>
  <si>
    <t>0301/0201/0000</t>
  </si>
  <si>
    <t xml:space="preserve">Electricity: Prepaid Sales; </t>
  </si>
  <si>
    <t>0301/0202/0000</t>
  </si>
  <si>
    <t xml:space="preserve">Elec: less income forgone;  </t>
  </si>
  <si>
    <t>0301/0282/0000</t>
  </si>
  <si>
    <t xml:space="preserve">Electricity Installation;   </t>
  </si>
  <si>
    <t>0301/0284/0000</t>
  </si>
  <si>
    <t>Elektricity Reconnection Fee</t>
  </si>
  <si>
    <t>0301/0307/0000</t>
  </si>
  <si>
    <t>0301/0700/0000</t>
  </si>
  <si>
    <t>0301/0803/0000</t>
  </si>
  <si>
    <t xml:space="preserve">Soil and Gravel purchases;  </t>
  </si>
  <si>
    <t>0301/0821/0000</t>
  </si>
  <si>
    <t>0301/0900/0000</t>
  </si>
  <si>
    <t>0301/3000/0000</t>
  </si>
  <si>
    <t>0301/3001/0000</t>
  </si>
  <si>
    <t>0301/3002/0000</t>
  </si>
  <si>
    <t>0301/3003/0000</t>
  </si>
  <si>
    <t>0301/3004/0000</t>
  </si>
  <si>
    <t>0301/3005/0000</t>
  </si>
  <si>
    <t>0301/3050/0000</t>
  </si>
  <si>
    <t>0301/3051/0000</t>
  </si>
  <si>
    <t>0301/3052/0000</t>
  </si>
  <si>
    <t>0301/3053/0000</t>
  </si>
  <si>
    <t>0301/3056/0000</t>
  </si>
  <si>
    <t>0301/3057/0000</t>
  </si>
  <si>
    <t>0301/3058/0000</t>
  </si>
  <si>
    <t>0301/3151/0000</t>
  </si>
  <si>
    <t>0301/3200/0000</t>
  </si>
  <si>
    <t>0301/3201/0000</t>
  </si>
  <si>
    <t>0301/3202/0000</t>
  </si>
  <si>
    <t>0301/3301/0000</t>
  </si>
  <si>
    <t xml:space="preserve">External - Interest;        </t>
  </si>
  <si>
    <t>0301/3400/0000</t>
  </si>
  <si>
    <t xml:space="preserve">Bulk Purchase - Escom;      </t>
  </si>
  <si>
    <t>0301/3401/0000</t>
  </si>
  <si>
    <t xml:space="preserve">Kleinmaat Verbruik - Escom; </t>
  </si>
  <si>
    <t>0301/3609/0000</t>
  </si>
  <si>
    <t xml:space="preserve">Vehicle Licenses;           </t>
  </si>
  <si>
    <t>0301/3610/0000</t>
  </si>
  <si>
    <t>0301/3611/0000</t>
  </si>
  <si>
    <t>0301/3613/0000</t>
  </si>
  <si>
    <t>0301/3622/0000</t>
  </si>
  <si>
    <t>0301/3638/0000</t>
  </si>
  <si>
    <t>0301/3647/0000</t>
  </si>
  <si>
    <t xml:space="preserve">IOT Pre-Paid;               </t>
  </si>
  <si>
    <t>0301/3669/0000</t>
  </si>
  <si>
    <t xml:space="preserve">Losses Measured;            </t>
  </si>
  <si>
    <t>0301/3673/0000</t>
  </si>
  <si>
    <t xml:space="preserve">External - Redemption;      </t>
  </si>
  <si>
    <t>0301/3752/0000</t>
  </si>
  <si>
    <t>0301/3753/0000</t>
  </si>
  <si>
    <t>0301/3759/0000</t>
  </si>
  <si>
    <t>Electricity Reperation Fund;</t>
  </si>
  <si>
    <t>0301/3900/0000</t>
  </si>
  <si>
    <t>0301/4002/0000</t>
  </si>
  <si>
    <t>0301/4100/0000</t>
  </si>
  <si>
    <t xml:space="preserve">Admin Cost;                 </t>
  </si>
  <si>
    <t>0301/4101/0000</t>
  </si>
  <si>
    <t>0301/4400/0000</t>
  </si>
  <si>
    <t>0340/0220/0000</t>
  </si>
  <si>
    <t xml:space="preserve">Water Usage;                </t>
  </si>
  <si>
    <t>0340/0221/0000</t>
  </si>
  <si>
    <t xml:space="preserve">Water: less income forgone; </t>
  </si>
  <si>
    <t>0340/0223/0000</t>
  </si>
  <si>
    <t xml:space="preserve">Water Inventory Income;     </t>
  </si>
  <si>
    <t>0340/0280/0000</t>
  </si>
  <si>
    <t xml:space="preserve">Water Installation;         </t>
  </si>
  <si>
    <t>0340/0307/0000</t>
  </si>
  <si>
    <t>0340/0700/0000</t>
  </si>
  <si>
    <t>0340/0821/0000</t>
  </si>
  <si>
    <t>0340/0900/0000</t>
  </si>
  <si>
    <t>0340/3000/0000</t>
  </si>
  <si>
    <t>0340/3001/0000</t>
  </si>
  <si>
    <t>0340/3002/0000</t>
  </si>
  <si>
    <t>0340/3003/0000</t>
  </si>
  <si>
    <t>0340/3004/0000</t>
  </si>
  <si>
    <t>0340/3005/0000</t>
  </si>
  <si>
    <t>0340/3050/0000</t>
  </si>
  <si>
    <t>0340/3051/0000</t>
  </si>
  <si>
    <t>0340/3052/0000</t>
  </si>
  <si>
    <t>0340/3056/0000</t>
  </si>
  <si>
    <t>0340/3058/0000</t>
  </si>
  <si>
    <t>0340/3151/0000</t>
  </si>
  <si>
    <t>0340/3200/0000</t>
  </si>
  <si>
    <t>0340/3201/0000</t>
  </si>
  <si>
    <t>0340/3202/0000</t>
  </si>
  <si>
    <t>0340/3610/0000</t>
  </si>
  <si>
    <t>0340/3611/0000</t>
  </si>
  <si>
    <t>0340/3613/0000</t>
  </si>
  <si>
    <t>0340/3620/0000</t>
  </si>
  <si>
    <t>0340/3622/0000</t>
  </si>
  <si>
    <t>0340/3629/0000</t>
  </si>
  <si>
    <t xml:space="preserve">Water Research Levy;        </t>
  </si>
  <si>
    <t>0340/3638/0000</t>
  </si>
  <si>
    <t>0340/3647/0000</t>
  </si>
  <si>
    <t>0340/3669/0000</t>
  </si>
  <si>
    <t>0340/3676/0000</t>
  </si>
  <si>
    <t>0340/3754/0000</t>
  </si>
  <si>
    <t>0340/3755/0000</t>
  </si>
  <si>
    <t>0340/3900/0000</t>
  </si>
  <si>
    <t>0340/4002/0000</t>
  </si>
  <si>
    <t>0340/4100/0000</t>
  </si>
  <si>
    <t>0340/4101/0000</t>
  </si>
  <si>
    <t>0340/4400/0000</t>
  </si>
  <si>
    <t>0360/0240/0000</t>
  </si>
  <si>
    <t xml:space="preserve">Refuse: Residential;        </t>
  </si>
  <si>
    <t>0360/0241/0000</t>
  </si>
  <si>
    <t>Refuse: less income forgone;</t>
  </si>
  <si>
    <t>0360/0260/0000</t>
  </si>
  <si>
    <t xml:space="preserve">Sanitation: Residential;    </t>
  </si>
  <si>
    <t>0360/0261/0000</t>
  </si>
  <si>
    <t>Sanitation:  less income for</t>
  </si>
  <si>
    <t>0360/0281/0000</t>
  </si>
  <si>
    <t xml:space="preserve">Garden Refuse;              </t>
  </si>
  <si>
    <t>0360/0307/0000</t>
  </si>
  <si>
    <t>0360/0700/0000</t>
  </si>
  <si>
    <t>0360/0805/0000</t>
  </si>
  <si>
    <t xml:space="preserve">Refuse Bags;                </t>
  </si>
  <si>
    <t>0360/0821/0000</t>
  </si>
  <si>
    <t>0360/0900/0000</t>
  </si>
  <si>
    <t>0360/3000/0000</t>
  </si>
  <si>
    <t>0360/3001/0000</t>
  </si>
  <si>
    <t>0360/3002/0000</t>
  </si>
  <si>
    <t>0360/3003/0000</t>
  </si>
  <si>
    <t>0360/3004/0000</t>
  </si>
  <si>
    <t>0360/3005/0000</t>
  </si>
  <si>
    <t>0360/3006/0000</t>
  </si>
  <si>
    <t xml:space="preserve">Leave Gratification Money;  </t>
  </si>
  <si>
    <t>0360/3050/0000</t>
  </si>
  <si>
    <t>0360/3051/0000</t>
  </si>
  <si>
    <t>0360/3052/0000</t>
  </si>
  <si>
    <t>0360/3053/0000</t>
  </si>
  <si>
    <t>0360/3056/0000</t>
  </si>
  <si>
    <t>0360/3058/0000</t>
  </si>
  <si>
    <t>0360/3151/0000</t>
  </si>
  <si>
    <t>0360/3200/0000</t>
  </si>
  <si>
    <t>0360/3201/0000</t>
  </si>
  <si>
    <t>0360/3202/0000</t>
  </si>
  <si>
    <t>0360/3610/0000</t>
  </si>
  <si>
    <t>0360/3611/0000</t>
  </si>
  <si>
    <t>0360/3613/0000</t>
  </si>
  <si>
    <t>0360/3620/0000</t>
  </si>
  <si>
    <t>0360/3622/0000</t>
  </si>
  <si>
    <t>0360/3625/0000</t>
  </si>
  <si>
    <t xml:space="preserve">Job Creation;               </t>
  </si>
  <si>
    <t>0360/3638/0000</t>
  </si>
  <si>
    <t>0360/3641/0000</t>
  </si>
  <si>
    <t xml:space="preserve">Refuse bags purchases;      </t>
  </si>
  <si>
    <t>0360/3647/0000</t>
  </si>
  <si>
    <t>0360/3671/0000</t>
  </si>
  <si>
    <t>0360/3672/0000</t>
  </si>
  <si>
    <t>0360/3754/0000</t>
  </si>
  <si>
    <t>0360/3755/0000</t>
  </si>
  <si>
    <t>0360/3900/0000</t>
  </si>
  <si>
    <t>0360/4002/0000</t>
  </si>
  <si>
    <t>0360/4100/0000</t>
  </si>
  <si>
    <t>0360/4101/0000</t>
  </si>
  <si>
    <t>0360/4400/0000</t>
  </si>
  <si>
    <t>6001/6001/6001</t>
  </si>
  <si>
    <t>UNAPPROPRIATED SURPLUS/DEFIC</t>
  </si>
  <si>
    <t>6001/6001/6002</t>
  </si>
  <si>
    <t>6001/6001/6003</t>
  </si>
  <si>
    <t>6001/6001/6004</t>
  </si>
  <si>
    <t>6001/6001/6005</t>
  </si>
  <si>
    <t>6001/6001/6006</t>
  </si>
  <si>
    <t>6001/6001/6007</t>
  </si>
  <si>
    <t>6001/6001/6008</t>
  </si>
  <si>
    <t>6001/6001/6009</t>
  </si>
  <si>
    <t>6001/6002/6001</t>
  </si>
  <si>
    <t>REVOLVING FUND;OPENING BALNC</t>
  </si>
  <si>
    <t>6001/6002/6010</t>
  </si>
  <si>
    <t xml:space="preserve">REVOLVING FUND;CONTRBUTIONS </t>
  </si>
  <si>
    <t>6001/6002/6011</t>
  </si>
  <si>
    <t>REVOLVING FUND;CASH UTILISED</t>
  </si>
  <si>
    <t>6001/6002/6012</t>
  </si>
  <si>
    <t>REVOLVING FUND;INCOME EARNED</t>
  </si>
  <si>
    <t>6001/6002/6013</t>
  </si>
  <si>
    <t>REVOLVING FUND;INCOME RECEIV</t>
  </si>
  <si>
    <t>6001/6003/6001</t>
  </si>
  <si>
    <t>CIVIL DEFENCE FUND;OPENING B</t>
  </si>
  <si>
    <t>6001/6003/6010</t>
  </si>
  <si>
    <t>CIVIL DEFENCE FUND;CONTRBUTI</t>
  </si>
  <si>
    <t>6001/6003/6011</t>
  </si>
  <si>
    <t>CIVIL DEFENCE FUND;CASH UTIL</t>
  </si>
  <si>
    <t>6001/6003/6012</t>
  </si>
  <si>
    <t>CIVIL DEFENCE FUND;INCOME EA</t>
  </si>
  <si>
    <t>6001/6003/6013</t>
  </si>
  <si>
    <t>CIVIL DEFENCE FUND;INCOME RE</t>
  </si>
  <si>
    <t>6001/6004/6001</t>
  </si>
  <si>
    <t xml:space="preserve">DOG TAX;OPENING BALNCE      </t>
  </si>
  <si>
    <t>6001/6004/6010</t>
  </si>
  <si>
    <t>DOG TAX;CONTRBUTIONS RECEIVE</t>
  </si>
  <si>
    <t>6001/6004/6011</t>
  </si>
  <si>
    <t>DOG TAX;CASH UTILISED/ EXPEN</t>
  </si>
  <si>
    <t>6001/6004/6012</t>
  </si>
  <si>
    <t xml:space="preserve">DOG TAX;INCOME EARNED       </t>
  </si>
  <si>
    <t>6001/6004/6013</t>
  </si>
  <si>
    <t xml:space="preserve">DOG TAX;INCOME RECEIVED     </t>
  </si>
  <si>
    <t>6001/6005/6001</t>
  </si>
  <si>
    <t>RENEWAL MACHINERY &amp; EQUIPMEN</t>
  </si>
  <si>
    <t>6001/6005/6010</t>
  </si>
  <si>
    <t>6001/6005/6011</t>
  </si>
  <si>
    <t>6001/6005/6012</t>
  </si>
  <si>
    <t>6001/6005/6013</t>
  </si>
  <si>
    <t>6001/6006/6001</t>
  </si>
  <si>
    <t>COMBINED GRAVE YARD FUND;OPE</t>
  </si>
  <si>
    <t>6001/6006/6010</t>
  </si>
  <si>
    <t>COMBINED GRAVE YARD FUND;CON</t>
  </si>
  <si>
    <t>6001/6006/6011</t>
  </si>
  <si>
    <t>COMBINED GRAVE YARD FUND;CAS</t>
  </si>
  <si>
    <t>6001/6006/6012</t>
  </si>
  <si>
    <t>COMBINED GRAVE YARD FUND;INC</t>
  </si>
  <si>
    <t>6001/6006/6013</t>
  </si>
  <si>
    <t>6001/6007/6001</t>
  </si>
  <si>
    <t>PLANNING NOODKAMP;OPENING BA</t>
  </si>
  <si>
    <t>6001/6007/6010</t>
  </si>
  <si>
    <t>PLANNING NOODKAMP;CONTRBUTIO</t>
  </si>
  <si>
    <t>6001/6007/6011</t>
  </si>
  <si>
    <t>PLANNING NOODKAMP;CASH UTILI</t>
  </si>
  <si>
    <t>6001/6007/6012</t>
  </si>
  <si>
    <t>PLANNING NOODKAMP;INCOME EAR</t>
  </si>
  <si>
    <t>6001/6007/6013</t>
  </si>
  <si>
    <t>PLANNING NOODKAMP;INCOME REC</t>
  </si>
  <si>
    <t>6001/6008/6001</t>
  </si>
  <si>
    <t>GENERAL SUSPENSE TOWNSHIP DE</t>
  </si>
  <si>
    <t>6001/6008/6010</t>
  </si>
  <si>
    <t>6001/6008/6011</t>
  </si>
  <si>
    <t>6001/6008/6012</t>
  </si>
  <si>
    <t>6001/6008/6013</t>
  </si>
  <si>
    <t>6001/6009/6001</t>
  </si>
  <si>
    <t>INTEGRATION FUND;OPENING BAL</t>
  </si>
  <si>
    <t>6001/6009/6010</t>
  </si>
  <si>
    <t>INTEGRATION FUND;CONTRBUTION</t>
  </si>
  <si>
    <t>6001/6009/6011</t>
  </si>
  <si>
    <t>INTEGRATION FUND;CASH UTILIS</t>
  </si>
  <si>
    <t>6001/6009/6012</t>
  </si>
  <si>
    <t>INTEGRATION FUND;INCOME EARN</t>
  </si>
  <si>
    <t>6001/6009/6013</t>
  </si>
  <si>
    <t>INTEGRATION FUND;INCOME RECE</t>
  </si>
  <si>
    <t>6001/6010/6001</t>
  </si>
  <si>
    <t>COMMUNITY SPORT FUND;OPENING</t>
  </si>
  <si>
    <t>6001/6010/6010</t>
  </si>
  <si>
    <t>COMMUNITY SPORT FUND;CONTRBU</t>
  </si>
  <si>
    <t>6001/6010/6011</t>
  </si>
  <si>
    <t>COMMUNITY SPORT FUND;CASH UT</t>
  </si>
  <si>
    <t>6001/6010/6012</t>
  </si>
  <si>
    <t xml:space="preserve">COMMUNITY SPORT FUND;INCOME </t>
  </si>
  <si>
    <t>6001/6010/6013</t>
  </si>
  <si>
    <t>6101/6101/6001</t>
  </si>
  <si>
    <t>HOUSING DEVELOPMENT FUND;OPE</t>
  </si>
  <si>
    <t>6101/6101/6010</t>
  </si>
  <si>
    <t>HOUSING DEVELOPMENT FUND;CON</t>
  </si>
  <si>
    <t>6101/6101/6011</t>
  </si>
  <si>
    <t>HOUSING DEVELOPMENT FUND;CAS</t>
  </si>
  <si>
    <t>6101/6101/6012</t>
  </si>
  <si>
    <t>HOUSING DEVELOPMENT FUND;INC</t>
  </si>
  <si>
    <t>6101/6101/6013</t>
  </si>
  <si>
    <t>6201/6201/6001</t>
  </si>
  <si>
    <t>CAPITAL REPLACEMENT RESERVE;</t>
  </si>
  <si>
    <t>6201/6201/6010</t>
  </si>
  <si>
    <t>6201/6201/6011</t>
  </si>
  <si>
    <t>6201/6201/6012</t>
  </si>
  <si>
    <t>6201/6201/6013</t>
  </si>
  <si>
    <t>6201/6202/6001</t>
  </si>
  <si>
    <t>CAPITALISATION RESERVE;OPENI</t>
  </si>
  <si>
    <t>6201/6202/6009</t>
  </si>
  <si>
    <t xml:space="preserve">CAPITALISATION RESERVE;GRAP </t>
  </si>
  <si>
    <t>6201/6202/6014</t>
  </si>
  <si>
    <t>CAPITALISATION RESERVE;RECEI</t>
  </si>
  <si>
    <t>6201/6202/6015</t>
  </si>
  <si>
    <t xml:space="preserve">CAPITALISATION RESERVE;USED </t>
  </si>
  <si>
    <t>6201/6202/6016</t>
  </si>
  <si>
    <t>CAPITALISATION RESERVE;TRANS</t>
  </si>
  <si>
    <t>6201/6202/6017</t>
  </si>
  <si>
    <t>6201/6202/6018</t>
  </si>
  <si>
    <t>CAPITALISATION RESERVE;REPAY</t>
  </si>
  <si>
    <t>6201/6203/6001</t>
  </si>
  <si>
    <t>SELF INSURANCE RESERVE;OPENI</t>
  </si>
  <si>
    <t>6201/6203/6010</t>
  </si>
  <si>
    <t>SELF INSURANCE RESERVE;CONTR</t>
  </si>
  <si>
    <t>6201/6203/6011</t>
  </si>
  <si>
    <t xml:space="preserve">SELF INSURANCE RESERVE;CASH </t>
  </si>
  <si>
    <t>6201/6203/6012</t>
  </si>
  <si>
    <t>SELF INSURANCE RESERVE;INCOM</t>
  </si>
  <si>
    <t>6201/6203/6013</t>
  </si>
  <si>
    <t>6201/6204/6001</t>
  </si>
  <si>
    <t xml:space="preserve">REVALUATION RESERVE;OPENING </t>
  </si>
  <si>
    <t>6201/6204/6009</t>
  </si>
  <si>
    <t>REVALUATION RESERVE;GRAP ADJ</t>
  </si>
  <si>
    <t>6201/6204/6014</t>
  </si>
  <si>
    <t>REVALUATION RESERVE;RECEIPTS</t>
  </si>
  <si>
    <t>6201/6204/6019</t>
  </si>
  <si>
    <t>REVALUATION RESERVE;TRANSFER</t>
  </si>
  <si>
    <t>6201/6204/6020</t>
  </si>
  <si>
    <t>REVALUATION RESERVE;WRITE-OF</t>
  </si>
  <si>
    <t>6201/6204/6021</t>
  </si>
  <si>
    <t>REVALUATION RESERVE;SALES/ D</t>
  </si>
  <si>
    <t>6201/6204/6022</t>
  </si>
  <si>
    <t>6201/6204/6023</t>
  </si>
  <si>
    <t>REVALUATION RESERVE;DECREASE</t>
  </si>
  <si>
    <t>6201/6205/6001</t>
  </si>
  <si>
    <t>GOVERNMENT GRANT RESERVE;OPE</t>
  </si>
  <si>
    <t>6201/6205/6009</t>
  </si>
  <si>
    <t>GOVERNMENT GRANT RESERVE;GRA</t>
  </si>
  <si>
    <t>6201/6205/6014</t>
  </si>
  <si>
    <t>GOVERNMENT GRANT RESERVE;REC</t>
  </si>
  <si>
    <t>6201/6205/6015</t>
  </si>
  <si>
    <t>GOVERNMENT GRANT RESERVE;USE</t>
  </si>
  <si>
    <t>6201/6205/6016</t>
  </si>
  <si>
    <t>GOVERNMENT GRANT RESERVE;TRA</t>
  </si>
  <si>
    <t>6201/6205/6017</t>
  </si>
  <si>
    <t>6201/6205/6018</t>
  </si>
  <si>
    <t>GOVERNMENT GRANT RESERVE;REP</t>
  </si>
  <si>
    <t>6201/6206/6001</t>
  </si>
  <si>
    <t>DONATIONS&amp;PUBLIC CONTR RESER</t>
  </si>
  <si>
    <t>6201/6206/6009</t>
  </si>
  <si>
    <t>6201/6206/6014</t>
  </si>
  <si>
    <t>6201/6206/6015</t>
  </si>
  <si>
    <t>6201/6206/6016</t>
  </si>
  <si>
    <t>6201/6206/6017</t>
  </si>
  <si>
    <t>6201/6206/6018</t>
  </si>
  <si>
    <t>6201/6207/6001</t>
  </si>
  <si>
    <t>EMPLOYEE BENEFIT RESERVE;OPE</t>
  </si>
  <si>
    <t>6201/6207/6010</t>
  </si>
  <si>
    <t>EMPLOYEE BENEFIT RESERVE;CON</t>
  </si>
  <si>
    <t>6201/6207/6011</t>
  </si>
  <si>
    <t>EMPLOYEE BENEFIT RESERVE;CAS</t>
  </si>
  <si>
    <t>6201/6207/6012</t>
  </si>
  <si>
    <t>EMPLOYEE BENEFIT RESERVE;INC</t>
  </si>
  <si>
    <t>6201/6207/6013</t>
  </si>
  <si>
    <t>6201/6208/6001</t>
  </si>
  <si>
    <t>NON-CURRENT PROVISION RESERV</t>
  </si>
  <si>
    <t>6201/6208/6010</t>
  </si>
  <si>
    <t>6201/6208/6011</t>
  </si>
  <si>
    <t>6201/6208/6012</t>
  </si>
  <si>
    <t>6201/6208/6013</t>
  </si>
  <si>
    <t>6201/6209/6001</t>
  </si>
  <si>
    <t>SOCIAL CONTRIBUTIONS RESERVE</t>
  </si>
  <si>
    <t>6201/6209/6010</t>
  </si>
  <si>
    <t>6201/6209/6011</t>
  </si>
  <si>
    <t>6201/6209/6012</t>
  </si>
  <si>
    <t>6201/6209/6013</t>
  </si>
  <si>
    <t>6201/6210/6001</t>
  </si>
  <si>
    <t>VALUATION ROLL RESERVE;OPENI</t>
  </si>
  <si>
    <t>6201/6210/6010</t>
  </si>
  <si>
    <t>VALUATION ROLL RESERVE;CONTR</t>
  </si>
  <si>
    <t>6201/6210/6011</t>
  </si>
  <si>
    <t xml:space="preserve">VALUATION ROLL RESERVE;CASH </t>
  </si>
  <si>
    <t>6201/6210/6012</t>
  </si>
  <si>
    <t>VALUATION ROLL RESERVE;INCOM</t>
  </si>
  <si>
    <t>6201/6210/6013</t>
  </si>
  <si>
    <t>7001/7001/7001</t>
  </si>
  <si>
    <t>LOAN DBSA - ELECTRICITY;OPEN</t>
  </si>
  <si>
    <t>7001/7001/7003</t>
  </si>
  <si>
    <t>LOAN DBSA - ELECTRICITY;RECE</t>
  </si>
  <si>
    <t>7001/7001/7004</t>
  </si>
  <si>
    <t>LOAN DBSA - ELECTRICITY;INST</t>
  </si>
  <si>
    <t>7001/7001/7005</t>
  </si>
  <si>
    <t>LOAN DBSA - ELECTRICITY;TRAN</t>
  </si>
  <si>
    <t>7001/7001/7006</t>
  </si>
  <si>
    <t>LOAN DBSA - ELECTRICITY;TFER</t>
  </si>
  <si>
    <t>7001/7001/7007</t>
  </si>
  <si>
    <t>LOAN DBSA - ELECTRICITY;CAPI</t>
  </si>
  <si>
    <t>7001/7001/7008</t>
  </si>
  <si>
    <t>LOAN DBSA - ELECTRICITY;OTHE</t>
  </si>
  <si>
    <t>7001/7001/7009</t>
  </si>
  <si>
    <t>LOAN DBSA - ELECTRICITY;WRIT</t>
  </si>
  <si>
    <t>7001/7003/7001</t>
  </si>
  <si>
    <t>UNAMORTISED DISC ON EXT LOAN</t>
  </si>
  <si>
    <t>7002/7002/7001</t>
  </si>
  <si>
    <t>FINANCE LEASE;OPENING BALANC</t>
  </si>
  <si>
    <t>7002/7002/7003</t>
  </si>
  <si>
    <t>FINANCE LEASE;RECEIVED DURIN</t>
  </si>
  <si>
    <t>7002/7002/7004</t>
  </si>
  <si>
    <t>FINANCE LEASE;INSTALLMENTS P</t>
  </si>
  <si>
    <t>7002/7002/7005</t>
  </si>
  <si>
    <t>FINANCE LEASE;TRANSFERS TO I</t>
  </si>
  <si>
    <t>7002/7002/7006</t>
  </si>
  <si>
    <t>FINANCE LEASE;TFER TO/FROM C</t>
  </si>
  <si>
    <t>7002/7002/7007</t>
  </si>
  <si>
    <t>FINANCE LEASE;CAPITALISED DU</t>
  </si>
  <si>
    <t>7002/7002/7008</t>
  </si>
  <si>
    <t>FINANCE LEASE;OTHER TRANSFER</t>
  </si>
  <si>
    <t>7002/7002/7009</t>
  </si>
  <si>
    <t>FINANCE LEASE;WRITTEN OFF DU</t>
  </si>
  <si>
    <t>7051/7051/7051</t>
  </si>
  <si>
    <t>POST EMPLOYEE MEDICAL AWARD;</t>
  </si>
  <si>
    <t>7051/7051/7053</t>
  </si>
  <si>
    <t>7051/7051/7054</t>
  </si>
  <si>
    <t>7051/7051/7055</t>
  </si>
  <si>
    <t>7051/7051/7056</t>
  </si>
  <si>
    <t>7051/7052/7051</t>
  </si>
  <si>
    <t>LONG SERVICE AWARD;OPENING B</t>
  </si>
  <si>
    <t>7051/7052/7053</t>
  </si>
  <si>
    <t>LONG SERVICE AWARD;CONTRIBUT</t>
  </si>
  <si>
    <t>7051/7052/7054</t>
  </si>
  <si>
    <t>LONG SERVICE AWARD;EXPENDITU</t>
  </si>
  <si>
    <t>7051/7052/7055</t>
  </si>
  <si>
    <t xml:space="preserve">LONG SERVICE AWARD;INCREASE </t>
  </si>
  <si>
    <t>7051/7052/7056</t>
  </si>
  <si>
    <t xml:space="preserve">LONG SERVICE AWARD;TFER T/F </t>
  </si>
  <si>
    <t>7051/7053/7051</t>
  </si>
  <si>
    <t xml:space="preserve">EX GRATIA LIABILITY;OPENING </t>
  </si>
  <si>
    <t>7051/7053/7053</t>
  </si>
  <si>
    <t>EX GRATIA LIABILITY;CONTRIBU</t>
  </si>
  <si>
    <t>7051/7053/7054</t>
  </si>
  <si>
    <t>EX GRATIA LIABILITY;EXPENDIT</t>
  </si>
  <si>
    <t>7051/7053/7055</t>
  </si>
  <si>
    <t>EX GRATIA LIABILITY;INCREASE</t>
  </si>
  <si>
    <t>7051/7053/7056</t>
  </si>
  <si>
    <t>EX GRATIA LIABILITY;TFER T/F</t>
  </si>
  <si>
    <t>7101/7101/7101</t>
  </si>
  <si>
    <t>REHABILITATION: LANDFILL SIT</t>
  </si>
  <si>
    <t>7101/7101/7103</t>
  </si>
  <si>
    <t>7101/7101/7104</t>
  </si>
  <si>
    <t>7101/7101/7105</t>
  </si>
  <si>
    <t>7101/7101/7106</t>
  </si>
  <si>
    <t>7101/7102/7101</t>
  </si>
  <si>
    <t>ALLEVIATION OF ALIEN VEGATAT</t>
  </si>
  <si>
    <t>7101/7102/7103</t>
  </si>
  <si>
    <t>7101/7102/7104</t>
  </si>
  <si>
    <t>7101/7102/7105</t>
  </si>
  <si>
    <t>7101/7102/7106</t>
  </si>
  <si>
    <t>7101/7103/7101</t>
  </si>
  <si>
    <t>CLEANING OF ILLEGAL DUMPING;</t>
  </si>
  <si>
    <t>7101/7103/7103</t>
  </si>
  <si>
    <t>7101/7103/7104</t>
  </si>
  <si>
    <t>7101/7103/7105</t>
  </si>
  <si>
    <t>7101/7103/7106</t>
  </si>
  <si>
    <t>7501/7501/7501</t>
  </si>
  <si>
    <t>ELECTRICITY CONSUMER DEPOSIT</t>
  </si>
  <si>
    <t>7501/7501/7502</t>
  </si>
  <si>
    <t>7501/7502/7501</t>
  </si>
  <si>
    <t>WATER CONSUMER DEPOSIT;OPENI</t>
  </si>
  <si>
    <t>7501/7502/7502</t>
  </si>
  <si>
    <t>WATER CONSUMER DEPOSIT;TRANS</t>
  </si>
  <si>
    <t>7501/7503/7501</t>
  </si>
  <si>
    <t>Unallocated Consumer Deposit</t>
  </si>
  <si>
    <t>7501/7503/7502</t>
  </si>
  <si>
    <t>7551/7551/7551</t>
  </si>
  <si>
    <t>PERFORMANCE BONUSSES;OPENING</t>
  </si>
  <si>
    <t>7551/7551/7552</t>
  </si>
  <si>
    <t>PERFORMANCE BONUSSES;TRANSFE</t>
  </si>
  <si>
    <t>7551/7552/7551</t>
  </si>
  <si>
    <t>ANNUAL BONUSSES;OPENING BALA</t>
  </si>
  <si>
    <t>7551/7552/7552</t>
  </si>
  <si>
    <t>ANNUAL BONUSSES;TRANSFER TO/</t>
  </si>
  <si>
    <t>7551/7553/7551</t>
  </si>
  <si>
    <t xml:space="preserve">STAFF LEAVE;OPENING BALANCE </t>
  </si>
  <si>
    <t>7551/7553/7552</t>
  </si>
  <si>
    <t>STAFF LEAVE;TRANSFER TO/ FRO</t>
  </si>
  <si>
    <t>7551/7554/7551</t>
  </si>
  <si>
    <t>7551/7554/7552</t>
  </si>
  <si>
    <t>7551/7555/7551</t>
  </si>
  <si>
    <t>7551/7555/7552</t>
  </si>
  <si>
    <t xml:space="preserve">LONG SERVICE AWARD;TRANSFER </t>
  </si>
  <si>
    <t>7551/7556/7551</t>
  </si>
  <si>
    <t>7551/7556/7552</t>
  </si>
  <si>
    <t>EX GRATIA LIABILITY;TRANSFER</t>
  </si>
  <si>
    <t>7551/7557/7551</t>
  </si>
  <si>
    <t>LEAVE GRATIFICATION FUND;OPE</t>
  </si>
  <si>
    <t>7551/7557/7552</t>
  </si>
  <si>
    <t>LEAVE GRATIFICATION FUND;TRA</t>
  </si>
  <si>
    <t>7601/7601/7601</t>
  </si>
  <si>
    <t>7601/7601/7603</t>
  </si>
  <si>
    <t>7601/7602/7601</t>
  </si>
  <si>
    <t>7601/7602/7603</t>
  </si>
  <si>
    <t>7601/7603/7601</t>
  </si>
  <si>
    <t>7601/7603/7603</t>
  </si>
  <si>
    <t>7601/7604/7601</t>
  </si>
  <si>
    <t>GENERAL REPARATION;OPENING B</t>
  </si>
  <si>
    <t>7601/7604/7603</t>
  </si>
  <si>
    <t>GENERAL REPARATION;TRANFER T</t>
  </si>
  <si>
    <t>7601/7605/7601</t>
  </si>
  <si>
    <t>ELECTRICAL REPARATIONFUND;OP</t>
  </si>
  <si>
    <t>7601/7605/7603</t>
  </si>
  <si>
    <t>ELECTRICAL REPARATIONFUND;TR</t>
  </si>
  <si>
    <t>7601/7606/7601</t>
  </si>
  <si>
    <t>Prov Cape Joint Pens Fund;OP</t>
  </si>
  <si>
    <t>7601/7606/7603</t>
  </si>
  <si>
    <t>Prov Cape Joint Pens Fund;TR</t>
  </si>
  <si>
    <t>7651/7651/7651</t>
  </si>
  <si>
    <t>Creditors Control account;OP</t>
  </si>
  <si>
    <t>7651/7651/7653</t>
  </si>
  <si>
    <t>Creditors Control account;TR</t>
  </si>
  <si>
    <t>7651/7663/7651</t>
  </si>
  <si>
    <t>SERVICE BALANCE;OPENING BALA</t>
  </si>
  <si>
    <t>7652/7652/7651</t>
  </si>
  <si>
    <t>DEBTORS : CREDIT BALANCES;OP</t>
  </si>
  <si>
    <t>7652/7652/7653</t>
  </si>
  <si>
    <t>DEBTORS : CREDIT BALANCES;TR</t>
  </si>
  <si>
    <t>7652/7653/7651</t>
  </si>
  <si>
    <t>DEBTORS IN CREDIT;OPENING BA</t>
  </si>
  <si>
    <t>7652/7653/7653</t>
  </si>
  <si>
    <t>DEBTORS IN CREDIT;TRANSACTIO</t>
  </si>
  <si>
    <t>7652/7654/7651</t>
  </si>
  <si>
    <t>ENCROACHMENT;OPENING BALANCE</t>
  </si>
  <si>
    <t>7652/7654/7653</t>
  </si>
  <si>
    <t>ENCROACHMENT;TRANSACTIONS FO</t>
  </si>
  <si>
    <t>7652/7655/7651</t>
  </si>
  <si>
    <t xml:space="preserve">SANITATION;OPENING BALANCE  </t>
  </si>
  <si>
    <t>7652/7655/7653</t>
  </si>
  <si>
    <t xml:space="preserve">SANITATION;TRANSACTIONS FOR </t>
  </si>
  <si>
    <t>7652/7656/7651</t>
  </si>
  <si>
    <t xml:space="preserve">SEWER;OPENING BALANCE       </t>
  </si>
  <si>
    <t>7652/7656/7653</t>
  </si>
  <si>
    <t>SEWER;TRANSACTIONS FOR THE Y</t>
  </si>
  <si>
    <t>7652/7657/7651</t>
  </si>
  <si>
    <t xml:space="preserve">WATER;OPENING BALANCE       </t>
  </si>
  <si>
    <t>7652/7657/7653</t>
  </si>
  <si>
    <t>WATER;TRANSACTIONS FOR THE Y</t>
  </si>
  <si>
    <t>7652/7658/7651</t>
  </si>
  <si>
    <t xml:space="preserve">ELEKTRICITY;OPENING BALANCE </t>
  </si>
  <si>
    <t>7652/7658/7653</t>
  </si>
  <si>
    <t>ELEKTRICITY;TRANSACTIONS FOR</t>
  </si>
  <si>
    <t>7652/7659/7651</t>
  </si>
  <si>
    <t xml:space="preserve">RATES;OPENING BALANCE       </t>
  </si>
  <si>
    <t>7652/7659/7653</t>
  </si>
  <si>
    <t>RATES;TRANSACTIONS FOR THE Y</t>
  </si>
  <si>
    <t>7652/7660/7651</t>
  </si>
  <si>
    <t>BUILDING CLAUSE;OPENING BALA</t>
  </si>
  <si>
    <t>7652/7660/7653</t>
  </si>
  <si>
    <t>BUILDING CLAUSE;TRANSACTIONS</t>
  </si>
  <si>
    <t>7652/7661/7651</t>
  </si>
  <si>
    <t>HOUSING RENT;OPENING BALANCE</t>
  </si>
  <si>
    <t>7652/7661/7653</t>
  </si>
  <si>
    <t>HOUSING RENT;TRANSACTIONS FO</t>
  </si>
  <si>
    <t>7652/7662/7651</t>
  </si>
  <si>
    <t xml:space="preserve">REFUSE;OPENING BALANCE      </t>
  </si>
  <si>
    <t>7652/7662/7653</t>
  </si>
  <si>
    <t xml:space="preserve">REFUSE;TRANSACTIONS FOR THE </t>
  </si>
  <si>
    <t>7653/7663/7651</t>
  </si>
  <si>
    <t>7653/7663/7653</t>
  </si>
  <si>
    <t>SERVICE BALANCE;TRANSACTIONS</t>
  </si>
  <si>
    <t>7653/7664/7651</t>
  </si>
  <si>
    <t>RENTAL SCHEMES;OPENING BALAN</t>
  </si>
  <si>
    <t>7653/7664/7653</t>
  </si>
  <si>
    <t xml:space="preserve">RENTAL SCHEMES;TRANSACTIONS </t>
  </si>
  <si>
    <t>7653/7665/7651</t>
  </si>
  <si>
    <t xml:space="preserve">SUSPENCE;OPENING BALANCE    </t>
  </si>
  <si>
    <t>7653/7665/7653</t>
  </si>
  <si>
    <t>SUSPENCE;TRANSACTIONS FOR TH</t>
  </si>
  <si>
    <t>7653/7666/7651</t>
  </si>
  <si>
    <t xml:space="preserve">RENT;OPENING BALANCE        </t>
  </si>
  <si>
    <t>7653/7666/7653</t>
  </si>
  <si>
    <t>RENT;TRANSACTIONS FOR THE YE</t>
  </si>
  <si>
    <t>7653/7667/7651</t>
  </si>
  <si>
    <t>DIVERSE CREDITORS;OPENING BA</t>
  </si>
  <si>
    <t>7653/7667/7653</t>
  </si>
  <si>
    <t>DIVERSE CREDITORS;TRANSACTIO</t>
  </si>
  <si>
    <t>7653/7668/7651</t>
  </si>
  <si>
    <t>SUSPENCE ACCOUNT;OPENING BAL</t>
  </si>
  <si>
    <t>7653/7668/7653</t>
  </si>
  <si>
    <t>SUSPENCE ACCOUNT;TRANSACTION</t>
  </si>
  <si>
    <t>7653/7669/7651</t>
  </si>
  <si>
    <t xml:space="preserve">NOODKAMP;OPENING BALANCE    </t>
  </si>
  <si>
    <t>7653/7669/7653</t>
  </si>
  <si>
    <t>NOODKAMP;TRANSACTIONS FOR TH</t>
  </si>
  <si>
    <t>7653/7670/7651</t>
  </si>
  <si>
    <t>PROVISION FOR AUDITFEES;OPEN</t>
  </si>
  <si>
    <t>7653/7670/7653</t>
  </si>
  <si>
    <t>PROVISION FOR AUDITFEES;TRAN</t>
  </si>
  <si>
    <t>7653/7671/7651</t>
  </si>
  <si>
    <t>Unidentified Deposits;OPENIN</t>
  </si>
  <si>
    <t>7701/7701/7701</t>
  </si>
  <si>
    <t xml:space="preserve">IDP FUND;OPENING BALANCE    </t>
  </si>
  <si>
    <t>7701/7701/7703</t>
  </si>
  <si>
    <t>IDP FUND;RECEIVED DURING YEA</t>
  </si>
  <si>
    <t>7701/7701/7704</t>
  </si>
  <si>
    <t xml:space="preserve">IDP FUND;INTEREST FOR YEAR  </t>
  </si>
  <si>
    <t>7701/7701/7705</t>
  </si>
  <si>
    <t>IDP FUND;TRANSF REVENUE COND</t>
  </si>
  <si>
    <t>7701/7701/7706</t>
  </si>
  <si>
    <t>7701/7701/7707</t>
  </si>
  <si>
    <t>IDP FUND;TRANSFER TO FROM UN</t>
  </si>
  <si>
    <t>7701/7702/7701</t>
  </si>
  <si>
    <t>EQUITABLE SHARE;OPENING BALA</t>
  </si>
  <si>
    <t>7701/7702/7703</t>
  </si>
  <si>
    <t>EQUITABLE SHARE;RECEIVED DUR</t>
  </si>
  <si>
    <t>7701/7702/7704</t>
  </si>
  <si>
    <t>EQUITABLE SHARE;INTEREST FOR</t>
  </si>
  <si>
    <t>7701/7702/7705</t>
  </si>
  <si>
    <t>EQUITABLE SHARE;TRANSF REVEN</t>
  </si>
  <si>
    <t>7701/7702/7706</t>
  </si>
  <si>
    <t>7701/7702/7707</t>
  </si>
  <si>
    <t xml:space="preserve">EQUITABLE SHARE;TRANSFER TO </t>
  </si>
  <si>
    <t>7701/7703/7701</t>
  </si>
  <si>
    <t>UNSPENT GRANTS;OPENING BALAN</t>
  </si>
  <si>
    <t>7701/7703/7703</t>
  </si>
  <si>
    <t>UNSPENT GRANTS;RECEIVED DURI</t>
  </si>
  <si>
    <t>7701/7703/7704</t>
  </si>
  <si>
    <t xml:space="preserve">UNSPENT GRANTS;INTEREST FOR </t>
  </si>
  <si>
    <t>7701/7703/7705</t>
  </si>
  <si>
    <t>UNSPENT GRANTS;TRANSF REVENU</t>
  </si>
  <si>
    <t>7701/7703/7706</t>
  </si>
  <si>
    <t>7701/7703/7707</t>
  </si>
  <si>
    <t>UNSPENT GRANTS;TRANSFER TO F</t>
  </si>
  <si>
    <t>7701/7704/7701</t>
  </si>
  <si>
    <t>DISTRICT MUN SURPLUS FUNDS;O</t>
  </si>
  <si>
    <t>7701/7705/7701</t>
  </si>
  <si>
    <t>EPWP PROJECTS;OPENING BALANC</t>
  </si>
  <si>
    <t>7701/7706/7701</t>
  </si>
  <si>
    <t>MIG PROJECTS OXIDATION DAMS;</t>
  </si>
  <si>
    <t>7701/7707/7701</t>
  </si>
  <si>
    <t>FINANCIAL MANAGEMENT GRANT;O</t>
  </si>
  <si>
    <t>7701/7708/7701</t>
  </si>
  <si>
    <t>MUNICIPAL SYSTEM INFR GRANT;</t>
  </si>
  <si>
    <t>7701/7709/7701</t>
  </si>
  <si>
    <t>LG SETA SKILLS DEVELOPMENT;O</t>
  </si>
  <si>
    <t>7751/7751/7751</t>
  </si>
  <si>
    <t>UNSPENT CONTRIBUTION &amp; RECEI</t>
  </si>
  <si>
    <t>7751/7751/7753</t>
  </si>
  <si>
    <t>7751/7751/7754</t>
  </si>
  <si>
    <t>7751/7751/7755</t>
  </si>
  <si>
    <t>7751/7751/7756</t>
  </si>
  <si>
    <t>7751/7751/7757</t>
  </si>
  <si>
    <t>7801/7801/7801</t>
  </si>
  <si>
    <t xml:space="preserve">VAT OUTPUT(BILLING);OPENING </t>
  </si>
  <si>
    <t>7801/7801/7803</t>
  </si>
  <si>
    <t>VAT OUTPUT(BILLING);TRANSACT</t>
  </si>
  <si>
    <t>7801/7802/7801</t>
  </si>
  <si>
    <t xml:space="preserve">VAT INPUT (INVOICE);OPENING </t>
  </si>
  <si>
    <t>7801/7802/7803</t>
  </si>
  <si>
    <t>VAT INPUT (INVOICE);TRANSACT</t>
  </si>
  <si>
    <t>7801/7803/7801</t>
  </si>
  <si>
    <t>VAT OUTPUT RECEIVE ACCOUNT;O</t>
  </si>
  <si>
    <t>7801/7803/7803</t>
  </si>
  <si>
    <t>VAT OUTPUT RECEIVE ACCOUNT;T</t>
  </si>
  <si>
    <t>7801/7804/7801</t>
  </si>
  <si>
    <t>VAT INPUT PAID ACCOUNT;OPENI</t>
  </si>
  <si>
    <t>7801/7804/7803</t>
  </si>
  <si>
    <t>VAT INPUT PAID ACCOUNT;TRANS</t>
  </si>
  <si>
    <t>7901/7901/7901</t>
  </si>
  <si>
    <t>OPERATING LEASE LIABILITY;BA</t>
  </si>
  <si>
    <t>7901/7901/7903</t>
  </si>
  <si>
    <t>OPERATING LEASE LIABILITY;LE</t>
  </si>
  <si>
    <t>7901/7901/7904</t>
  </si>
  <si>
    <t>7961/7961/7961</t>
  </si>
  <si>
    <t>LOANS DBSA-ELECTRICITY;OPENI</t>
  </si>
  <si>
    <t>7961/7961/7963</t>
  </si>
  <si>
    <t>LOANS DBSA-ELECTRICITY;TRANS</t>
  </si>
  <si>
    <t>7961/7981/7961</t>
  </si>
  <si>
    <t>FINANCE LEASE LIABILITY;OPEN</t>
  </si>
  <si>
    <t>7961/7981/7963</t>
  </si>
  <si>
    <t>FINANCE LEASE LIABILITY;TRAN</t>
  </si>
  <si>
    <t>8000/8000/8001</t>
  </si>
  <si>
    <t xml:space="preserve">Std Bank Investment;OPENING </t>
  </si>
  <si>
    <t>8001/8001/8001</t>
  </si>
  <si>
    <t>LAND AND BUILDINGS;OPENING B</t>
  </si>
  <si>
    <t>8001/8001/8003</t>
  </si>
  <si>
    <t>LAND AND BUILDINGS;ADDITIONS</t>
  </si>
  <si>
    <t>8001/8001/8004</t>
  </si>
  <si>
    <t xml:space="preserve">LAND AND BUILDINGS;TRANSFER </t>
  </si>
  <si>
    <t>8001/8001/8005</t>
  </si>
  <si>
    <t>LAND AND BUILDINGS;BORROWING</t>
  </si>
  <si>
    <t>8001/8001/8006</t>
  </si>
  <si>
    <t>LAND AND BUILDINGS;WRITE OFF</t>
  </si>
  <si>
    <t>8001/8001/8007</t>
  </si>
  <si>
    <t>LAND AND BUILDINGS;SALES AND</t>
  </si>
  <si>
    <t>8001/8001/8008</t>
  </si>
  <si>
    <t>8001/8001/8009</t>
  </si>
  <si>
    <t>LAND AND BUILDINGS;TRF TO AS</t>
  </si>
  <si>
    <t>8001/8002/8001</t>
  </si>
  <si>
    <t>INFRASTRUCTURE ASSETS;OPENIN</t>
  </si>
  <si>
    <t>8001/8002/8003</t>
  </si>
  <si>
    <t>INFRASTRUCTURE ASSETS;ADDITI</t>
  </si>
  <si>
    <t>8001/8002/8004</t>
  </si>
  <si>
    <t>INFRASTRUCTURE ASSETS;TRANSF</t>
  </si>
  <si>
    <t>8001/8002/8005</t>
  </si>
  <si>
    <t>INFRASTRUCTURE ASSETS;BORROW</t>
  </si>
  <si>
    <t>8001/8002/8006</t>
  </si>
  <si>
    <t xml:space="preserve">INFRASTRUCTURE ASSETS;WRITE </t>
  </si>
  <si>
    <t>8001/8002/8007</t>
  </si>
  <si>
    <t xml:space="preserve">INFRASTRUCTURE ASSETS;SALES </t>
  </si>
  <si>
    <t>8001/8002/8008</t>
  </si>
  <si>
    <t>8001/8002/8009</t>
  </si>
  <si>
    <t>INFRASTRUCTURE ASSETS;TRF TO</t>
  </si>
  <si>
    <t>8001/8003/8001</t>
  </si>
  <si>
    <t>COMMUNITY ASSETS;OPENING BAL</t>
  </si>
  <si>
    <t>8001/8003/8003</t>
  </si>
  <si>
    <t xml:space="preserve">COMMUNITY ASSETS;ADDITIONS  </t>
  </si>
  <si>
    <t>8001/8003/8004</t>
  </si>
  <si>
    <t xml:space="preserve">COMMUNITY ASSETS;TRANSFER   </t>
  </si>
  <si>
    <t>8001/8003/8005</t>
  </si>
  <si>
    <t>COMMUNITY ASSETS;BORROWING C</t>
  </si>
  <si>
    <t>8001/8003/8006</t>
  </si>
  <si>
    <t xml:space="preserve">COMMUNITY ASSETS;WRITE OFFS </t>
  </si>
  <si>
    <t>8001/8003/8007</t>
  </si>
  <si>
    <t>COMMUNITY ASSETS;SALES AND D</t>
  </si>
  <si>
    <t>8001/8003/8008</t>
  </si>
  <si>
    <t>COMMUNITY ASSETS;TRANSFER TO</t>
  </si>
  <si>
    <t>8001/8003/8009</t>
  </si>
  <si>
    <t>COMMUNITY ASSETS;TRF TO ASSE</t>
  </si>
  <si>
    <t>8001/8004/8001</t>
  </si>
  <si>
    <t>HERITAGE ASSETS;OPENING BALA</t>
  </si>
  <si>
    <t>8001/8004/8003</t>
  </si>
  <si>
    <t xml:space="preserve">HERITAGE ASSETS;ADDITIONS   </t>
  </si>
  <si>
    <t>8001/8004/8004</t>
  </si>
  <si>
    <t xml:space="preserve">HERITAGE ASSETS;TRANSFER    </t>
  </si>
  <si>
    <t>8001/8004/8005</t>
  </si>
  <si>
    <t>HERITAGE ASSETS;BORROWING CO</t>
  </si>
  <si>
    <t>8001/8004/8006</t>
  </si>
  <si>
    <t xml:space="preserve">HERITAGE ASSETS;WRITE OFFS  </t>
  </si>
  <si>
    <t>8001/8004/8007</t>
  </si>
  <si>
    <t>HERITAGE ASSETS;SALES AND DI</t>
  </si>
  <si>
    <t>8001/8004/8008</t>
  </si>
  <si>
    <t xml:space="preserve">HERITAGE ASSETS;TRANSFER TO </t>
  </si>
  <si>
    <t>8001/8004/8009</t>
  </si>
  <si>
    <t>HERITAGE ASSETS;TRF TO ASSET</t>
  </si>
  <si>
    <t>8001/8005/8001</t>
  </si>
  <si>
    <t>HOUSING ASSETS;OPENING BALAN</t>
  </si>
  <si>
    <t>8001/8005/8003</t>
  </si>
  <si>
    <t xml:space="preserve">HOUSING ASSETS;ADDITIONS    </t>
  </si>
  <si>
    <t>8001/8005/8004</t>
  </si>
  <si>
    <t xml:space="preserve">HOUSING ASSETS;TRANSFER     </t>
  </si>
  <si>
    <t>8001/8005/8005</t>
  </si>
  <si>
    <t>HOUSING ASSETS;BORROWING COS</t>
  </si>
  <si>
    <t>8001/8005/8006</t>
  </si>
  <si>
    <t xml:space="preserve">HOUSING ASSETS;WRITE OFFS   </t>
  </si>
  <si>
    <t>8001/8005/8007</t>
  </si>
  <si>
    <t>HOUSING ASSETS;SALES AND DIS</t>
  </si>
  <si>
    <t>8001/8005/8008</t>
  </si>
  <si>
    <t>HOUSING ASSETS;TRANSFER TO O</t>
  </si>
  <si>
    <t>8001/8005/8009</t>
  </si>
  <si>
    <t>HOUSING ASSETS;TRF TO ASSETS</t>
  </si>
  <si>
    <t>8001/8006/8001</t>
  </si>
  <si>
    <t>LEASEHOLD ASSETS;OPENING BAL</t>
  </si>
  <si>
    <t>8001/8006/8003</t>
  </si>
  <si>
    <t xml:space="preserve">LEASEHOLD ASSETS;ADDITIONS  </t>
  </si>
  <si>
    <t>8001/8006/8004</t>
  </si>
  <si>
    <t xml:space="preserve">LEASEHOLD ASSETS;TRANSFER   </t>
  </si>
  <si>
    <t>8001/8006/8005</t>
  </si>
  <si>
    <t>LEASEHOLD ASSETS;BORROWING C</t>
  </si>
  <si>
    <t>8001/8006/8006</t>
  </si>
  <si>
    <t xml:space="preserve">LEASEHOLD ASSETS;WRITE OFFS </t>
  </si>
  <si>
    <t>8001/8006/8007</t>
  </si>
  <si>
    <t>LEASEHOLD ASSETS;SALES AND D</t>
  </si>
  <si>
    <t>8001/8006/8008</t>
  </si>
  <si>
    <t>LEASEHOLD ASSETS;TRANSFER TO</t>
  </si>
  <si>
    <t>8001/8006/8009</t>
  </si>
  <si>
    <t>LEASEHOLD ASSETS;TRF TO ASSE</t>
  </si>
  <si>
    <t>8001/8007/8001</t>
  </si>
  <si>
    <t>OTHER ASSETS;OPENING BALANCE</t>
  </si>
  <si>
    <t>8001/8007/8003</t>
  </si>
  <si>
    <t xml:space="preserve">OTHER ASSETS;ADDITIONS      </t>
  </si>
  <si>
    <t>8001/8007/8004</t>
  </si>
  <si>
    <t xml:space="preserve">OTHER ASSETS;TRANSFER       </t>
  </si>
  <si>
    <t>8001/8007/8005</t>
  </si>
  <si>
    <t>OTHER ASSETS;BORROWING COSTS</t>
  </si>
  <si>
    <t>8001/8007/8006</t>
  </si>
  <si>
    <t xml:space="preserve">OTHER ASSETS;WRITE OFFS     </t>
  </si>
  <si>
    <t>8001/8007/8007</t>
  </si>
  <si>
    <t>OTHER ASSETS;SALES AND DISPO</t>
  </si>
  <si>
    <t>8001/8007/8008</t>
  </si>
  <si>
    <t>OTHER ASSETS;TRANSFER TO OTH</t>
  </si>
  <si>
    <t>8001/8007/8009</t>
  </si>
  <si>
    <t>OTHER ASSETS;TRF TO ASSETS H</t>
  </si>
  <si>
    <t>8002/8001/8001</t>
  </si>
  <si>
    <t>8002/8001/8003</t>
  </si>
  <si>
    <t>8002/8001/8004</t>
  </si>
  <si>
    <t>8002/8001/8005</t>
  </si>
  <si>
    <t>8002/8001/8006</t>
  </si>
  <si>
    <t>8002/8001/8007</t>
  </si>
  <si>
    <t>8002/8001/8008</t>
  </si>
  <si>
    <t>8002/8001/8009</t>
  </si>
  <si>
    <t>8002/8002/8001</t>
  </si>
  <si>
    <t>8002/8002/8003</t>
  </si>
  <si>
    <t>8002/8002/8004</t>
  </si>
  <si>
    <t>8002/8002/8005</t>
  </si>
  <si>
    <t>8002/8002/8006</t>
  </si>
  <si>
    <t>8002/8002/8007</t>
  </si>
  <si>
    <t>8002/8002/8008</t>
  </si>
  <si>
    <t>8002/8002/8009</t>
  </si>
  <si>
    <t>8002/8003/8001</t>
  </si>
  <si>
    <t>8002/8003/8003</t>
  </si>
  <si>
    <t>8002/8003/8004</t>
  </si>
  <si>
    <t>8002/8003/8005</t>
  </si>
  <si>
    <t>8002/8003/8006</t>
  </si>
  <si>
    <t>8002/8003/8007</t>
  </si>
  <si>
    <t>8002/8003/8008</t>
  </si>
  <si>
    <t>8002/8003/8009</t>
  </si>
  <si>
    <t>8002/8004/8001</t>
  </si>
  <si>
    <t>8002/8004/8003</t>
  </si>
  <si>
    <t>8002/8004/8004</t>
  </si>
  <si>
    <t>8002/8004/8005</t>
  </si>
  <si>
    <t>8002/8004/8006</t>
  </si>
  <si>
    <t>8002/8004/8007</t>
  </si>
  <si>
    <t>8002/8004/8008</t>
  </si>
  <si>
    <t>8002/8004/8009</t>
  </si>
  <si>
    <t>8002/8005/8001</t>
  </si>
  <si>
    <t>8002/8005/8003</t>
  </si>
  <si>
    <t>8002/8005/8004</t>
  </si>
  <si>
    <t>8002/8005/8005</t>
  </si>
  <si>
    <t>8002/8005/8006</t>
  </si>
  <si>
    <t>8002/8005/8007</t>
  </si>
  <si>
    <t>8002/8005/8008</t>
  </si>
  <si>
    <t>8002/8005/8009</t>
  </si>
  <si>
    <t>8002/8006/8001</t>
  </si>
  <si>
    <t>8002/8006/8003</t>
  </si>
  <si>
    <t>8002/8006/8004</t>
  </si>
  <si>
    <t>8002/8006/8005</t>
  </si>
  <si>
    <t>8002/8006/8006</t>
  </si>
  <si>
    <t>8002/8006/8007</t>
  </si>
  <si>
    <t>8002/8006/8008</t>
  </si>
  <si>
    <t>8002/8006/8009</t>
  </si>
  <si>
    <t>8002/8007/8001</t>
  </si>
  <si>
    <t>8002/8007/8003</t>
  </si>
  <si>
    <t>8002/8007/8004</t>
  </si>
  <si>
    <t>8002/8007/8005</t>
  </si>
  <si>
    <t>8002/8007/8006</t>
  </si>
  <si>
    <t>8002/8007/8007</t>
  </si>
  <si>
    <t>8002/8007/8008</t>
  </si>
  <si>
    <t>8002/8007/8009</t>
  </si>
  <si>
    <t>8003/8001/8001</t>
  </si>
  <si>
    <t>8003/8001/8003</t>
  </si>
  <si>
    <t>8003/8001/8004</t>
  </si>
  <si>
    <t>8003/8001/8005</t>
  </si>
  <si>
    <t>8003/8001/8006</t>
  </si>
  <si>
    <t>8003/8001/8007</t>
  </si>
  <si>
    <t>8003/8001/8008</t>
  </si>
  <si>
    <t>8003/8001/8009</t>
  </si>
  <si>
    <t>8003/8001/8010</t>
  </si>
  <si>
    <t>LAND AND BUILDINGS;REVERSALS</t>
  </si>
  <si>
    <t>8003/8002/8001</t>
  </si>
  <si>
    <t>8003/8002/8003</t>
  </si>
  <si>
    <t>8003/8002/8004</t>
  </si>
  <si>
    <t>8003/8002/8005</t>
  </si>
  <si>
    <t>8003/8002/8006</t>
  </si>
  <si>
    <t>8003/8002/8007</t>
  </si>
  <si>
    <t>8003/8002/8008</t>
  </si>
  <si>
    <t>8003/8002/8009</t>
  </si>
  <si>
    <t>8003/8002/8010</t>
  </si>
  <si>
    <t>INFRASTRUCTURE ASSETS;REVERS</t>
  </si>
  <si>
    <t>8003/8003/8001</t>
  </si>
  <si>
    <t>8003/8003/8003</t>
  </si>
  <si>
    <t>8003/8003/8004</t>
  </si>
  <si>
    <t>8003/8003/8005</t>
  </si>
  <si>
    <t>8003/8003/8006</t>
  </si>
  <si>
    <t>8003/8003/8007</t>
  </si>
  <si>
    <t>8003/8003/8008</t>
  </si>
  <si>
    <t>8003/8003/8009</t>
  </si>
  <si>
    <t>8003/8003/8010</t>
  </si>
  <si>
    <t xml:space="preserve">COMMUNITY ASSETS;REVERSALS  </t>
  </si>
  <si>
    <t>8003/8004/8001</t>
  </si>
  <si>
    <t>8003/8004/8003</t>
  </si>
  <si>
    <t>8003/8004/8004</t>
  </si>
  <si>
    <t>8003/8004/8005</t>
  </si>
  <si>
    <t>8003/8004/8006</t>
  </si>
  <si>
    <t>8003/8004/8007</t>
  </si>
  <si>
    <t>8003/8004/8008</t>
  </si>
  <si>
    <t>8003/8004/8009</t>
  </si>
  <si>
    <t>8003/8004/8010</t>
  </si>
  <si>
    <t xml:space="preserve">HERITAGE ASSETS;REVERSALS   </t>
  </si>
  <si>
    <t>8003/8005/8001</t>
  </si>
  <si>
    <t>8003/8005/8003</t>
  </si>
  <si>
    <t>8003/8005/8004</t>
  </si>
  <si>
    <t>8003/8005/8005</t>
  </si>
  <si>
    <t>8003/8005/8006</t>
  </si>
  <si>
    <t>8003/8005/8007</t>
  </si>
  <si>
    <t>8003/8005/8008</t>
  </si>
  <si>
    <t>8003/8005/8009</t>
  </si>
  <si>
    <t>8003/8005/8010</t>
  </si>
  <si>
    <t xml:space="preserve">HOUSING ASSETS;REVERSALS    </t>
  </si>
  <si>
    <t>8003/8006/8001</t>
  </si>
  <si>
    <t>8003/8006/8003</t>
  </si>
  <si>
    <t>8003/8006/8004</t>
  </si>
  <si>
    <t>8003/8006/8005</t>
  </si>
  <si>
    <t>8003/8006/8006</t>
  </si>
  <si>
    <t>8003/8006/8007</t>
  </si>
  <si>
    <t>8003/8006/8008</t>
  </si>
  <si>
    <t>8003/8006/8009</t>
  </si>
  <si>
    <t>8003/8006/8010</t>
  </si>
  <si>
    <t xml:space="preserve">LEASEHOLD ASSETS;REVERSALS  </t>
  </si>
  <si>
    <t>8003/8007/8001</t>
  </si>
  <si>
    <t>8003/8007/8003</t>
  </si>
  <si>
    <t>8003/8007/8004</t>
  </si>
  <si>
    <t>8003/8007/8005</t>
  </si>
  <si>
    <t>8003/8007/8006</t>
  </si>
  <si>
    <t>8003/8007/8007</t>
  </si>
  <si>
    <t>8003/8007/8008</t>
  </si>
  <si>
    <t>8003/8007/8009</t>
  </si>
  <si>
    <t>8003/8007/8010</t>
  </si>
  <si>
    <t xml:space="preserve">OTHER ASSETS;REVERSALS      </t>
  </si>
  <si>
    <t>8051/8051/8051</t>
  </si>
  <si>
    <t>PROPERTY HELD FOR SALE;OPENI</t>
  </si>
  <si>
    <t>8051/8051/8053</t>
  </si>
  <si>
    <t>PROPERTY HELD FOR SALE;ADDIT</t>
  </si>
  <si>
    <t>8051/8051/8054</t>
  </si>
  <si>
    <t>PROPERTY HELD FOR SALE;WRITE</t>
  </si>
  <si>
    <t>8051/8051/8055</t>
  </si>
  <si>
    <t>PROPERTY HELD FOR SALE;SALES</t>
  </si>
  <si>
    <t>8051/8052/8051</t>
  </si>
  <si>
    <t>OTHER ASSETS HELD FOR SALE;O</t>
  </si>
  <si>
    <t>8051/8052/8053</t>
  </si>
  <si>
    <t>OTHER ASSETS HELD FOR SALE;A</t>
  </si>
  <si>
    <t>8051/8052/8054</t>
  </si>
  <si>
    <t>OTHER ASSETS HELD FOR SALE;W</t>
  </si>
  <si>
    <t>8051/8052/8055</t>
  </si>
  <si>
    <t>OTHER ASSETS HELD FOR SALE;S</t>
  </si>
  <si>
    <t>8101/8011/8001</t>
  </si>
  <si>
    <t>ACCUMULATED REVALUATION;OPEN</t>
  </si>
  <si>
    <t>8101/8011/8103</t>
  </si>
  <si>
    <t>ACCUMULATED REVALUATION;ADDI</t>
  </si>
  <si>
    <t>8101/8011/8104</t>
  </si>
  <si>
    <t>ACCUMULATED REVALUATION;TRAN</t>
  </si>
  <si>
    <t>8101/8011/8105</t>
  </si>
  <si>
    <t>ACCUMULATED REVALUATION;WRIT</t>
  </si>
  <si>
    <t>8101/8011/8106</t>
  </si>
  <si>
    <t>ACCUMULATED REVALUATION;SALE</t>
  </si>
  <si>
    <t>8101/8011/8107</t>
  </si>
  <si>
    <t xml:space="preserve">ACCUMULATED REVALUATION;TRF </t>
  </si>
  <si>
    <t>8101/8011/8108</t>
  </si>
  <si>
    <t>8101/8011/8109</t>
  </si>
  <si>
    <t>ACCUMULATED REVALUATION;REVE</t>
  </si>
  <si>
    <t>8101/8021/8001</t>
  </si>
  <si>
    <t>ACCUMULATED DEPRECIATION;OPE</t>
  </si>
  <si>
    <t>8101/8021/8103</t>
  </si>
  <si>
    <t>ACCUMULATED DEPRECIATION;ADD</t>
  </si>
  <si>
    <t>8101/8021/8104</t>
  </si>
  <si>
    <t>ACCUMULATED DEPRECIATION;TRA</t>
  </si>
  <si>
    <t>8101/8021/8105</t>
  </si>
  <si>
    <t>ACCUMULATED DEPRECIATION;WRI</t>
  </si>
  <si>
    <t>8101/8021/8106</t>
  </si>
  <si>
    <t>ACCUMULATED DEPRECIATION;SAL</t>
  </si>
  <si>
    <t>8101/8021/8107</t>
  </si>
  <si>
    <t>ACCUMULATED DEPRECIATION;TRF</t>
  </si>
  <si>
    <t>8101/8021/8108</t>
  </si>
  <si>
    <t>8101/8021/8109</t>
  </si>
  <si>
    <t>ACCUMULATED DEPRECIATION;REV</t>
  </si>
  <si>
    <t>8101/8031/8001</t>
  </si>
  <si>
    <t>ACCUMULATED DEP: VALUATION;O</t>
  </si>
  <si>
    <t>8101/8031/8103</t>
  </si>
  <si>
    <t>ACCUMULATED DEP: VALUATION;A</t>
  </si>
  <si>
    <t>8101/8031/8104</t>
  </si>
  <si>
    <t>ACCUMULATED DEP: VALUATION;T</t>
  </si>
  <si>
    <t>8101/8031/8105</t>
  </si>
  <si>
    <t>ACCUMULATED DEP: VALUATION;W</t>
  </si>
  <si>
    <t>8101/8031/8106</t>
  </si>
  <si>
    <t>ACCUMULATED DEP: VALUATION;S</t>
  </si>
  <si>
    <t>8101/8031/8107</t>
  </si>
  <si>
    <t>8101/8031/8108</t>
  </si>
  <si>
    <t>8101/8031/8109</t>
  </si>
  <si>
    <t>ACCUMULATED DEP: VALUATION;R</t>
  </si>
  <si>
    <t>8101/8041/8001</t>
  </si>
  <si>
    <t>ACCUMULATED IMPAIRMENT;OPENI</t>
  </si>
  <si>
    <t>8101/8041/8103</t>
  </si>
  <si>
    <t>ACCUMULATED IMPAIRMENT;ADDIT</t>
  </si>
  <si>
    <t>8101/8041/8104</t>
  </si>
  <si>
    <t>ACCUMULATED IMPAIRMENT;TRANS</t>
  </si>
  <si>
    <t>8101/8041/8105</t>
  </si>
  <si>
    <t>ACCUMULATED IMPAIRMENT;WRITE</t>
  </si>
  <si>
    <t>8101/8041/8106</t>
  </si>
  <si>
    <t>ACCUMULATED IMPAIRMENT;SALES</t>
  </si>
  <si>
    <t>8101/8041/8107</t>
  </si>
  <si>
    <t>ACCUMULATED IMPAIRMENT;TRF T</t>
  </si>
  <si>
    <t>8101/8041/8108</t>
  </si>
  <si>
    <t>8101/8041/8109</t>
  </si>
  <si>
    <t>ACCUMULATED IMPAIRMENT;REVER</t>
  </si>
  <si>
    <t>8101/8101/8101</t>
  </si>
  <si>
    <t>HISTORICAL COST;OPENING BALA</t>
  </si>
  <si>
    <t>8101/8101/8103</t>
  </si>
  <si>
    <t xml:space="preserve">HISTORICAL COST;ADDITIONS   </t>
  </si>
  <si>
    <t>8101/8101/8104</t>
  </si>
  <si>
    <t xml:space="preserve">HISTORICAL COST;TRANSFERS   </t>
  </si>
  <si>
    <t>8101/8101/8105</t>
  </si>
  <si>
    <t xml:space="preserve">HISTORICAL COST;WRITE OFFS  </t>
  </si>
  <si>
    <t>8101/8101/8106</t>
  </si>
  <si>
    <t>HISTORICAL COST;SALES AND DI</t>
  </si>
  <si>
    <t>8101/8101/8107</t>
  </si>
  <si>
    <t>HISTORICAL COST;TRF TO OTHER</t>
  </si>
  <si>
    <t>8101/8101/8108</t>
  </si>
  <si>
    <t>HISTORICAL COST;TRF TO ASSET</t>
  </si>
  <si>
    <t>8101/8101/8109</t>
  </si>
  <si>
    <t xml:space="preserve">HISTORICAL COST;REVERSALS   </t>
  </si>
  <si>
    <t>8181/8181/8151</t>
  </si>
  <si>
    <t>BIOLOGICAL ASSET AT FAIR VAL</t>
  </si>
  <si>
    <t>8181/8181/8153</t>
  </si>
  <si>
    <t>8181/8181/8154</t>
  </si>
  <si>
    <t>8181/8181/8155</t>
  </si>
  <si>
    <t>8181/8181/8156</t>
  </si>
  <si>
    <t>8181/8181/8157</t>
  </si>
  <si>
    <t>8181/8181/8158</t>
  </si>
  <si>
    <t>8181/8181/8159</t>
  </si>
  <si>
    <t>8201/8201/8201</t>
  </si>
  <si>
    <t>8201/8201/8203</t>
  </si>
  <si>
    <t>8201/8201/8204</t>
  </si>
  <si>
    <t>8201/8201/8205</t>
  </si>
  <si>
    <t>8201/8201/8206</t>
  </si>
  <si>
    <t>8201/8201/8207</t>
  </si>
  <si>
    <t>HISTORICAL COST;TFR TO OTHER</t>
  </si>
  <si>
    <t>8201/8201/8208</t>
  </si>
  <si>
    <t>HISTORICAL COST;TFR TO ASSET</t>
  </si>
  <si>
    <t>8201/8201/8209</t>
  </si>
  <si>
    <t>8201/8202/8201</t>
  </si>
  <si>
    <t>8201/8202/8203</t>
  </si>
  <si>
    <t>8201/8202/8204</t>
  </si>
  <si>
    <t>8201/8202/8205</t>
  </si>
  <si>
    <t>8201/8202/8206</t>
  </si>
  <si>
    <t>8201/8202/8207</t>
  </si>
  <si>
    <t xml:space="preserve">ACCUMULATED REVALUATION;TFR </t>
  </si>
  <si>
    <t>8201/8202/8208</t>
  </si>
  <si>
    <t>8201/8202/8209</t>
  </si>
  <si>
    <t>8201/8203/8201</t>
  </si>
  <si>
    <t>8201/8203/8203</t>
  </si>
  <si>
    <t>8201/8203/8204</t>
  </si>
  <si>
    <t>8201/8203/8205</t>
  </si>
  <si>
    <t>8201/8203/8206</t>
  </si>
  <si>
    <t>8201/8203/8207</t>
  </si>
  <si>
    <t>ACCUMULATED DEPRECIATION;TFR</t>
  </si>
  <si>
    <t>8201/8203/8208</t>
  </si>
  <si>
    <t>8201/8203/8209</t>
  </si>
  <si>
    <t>8201/8204/8201</t>
  </si>
  <si>
    <t>ACC DEPRECIATION VALUATION;O</t>
  </si>
  <si>
    <t>8201/8204/8203</t>
  </si>
  <si>
    <t>ACC DEPRECIATION VALUATION;A</t>
  </si>
  <si>
    <t>8201/8204/8204</t>
  </si>
  <si>
    <t>ACC DEPRECIATION VALUATION;T</t>
  </si>
  <si>
    <t>8201/8204/8205</t>
  </si>
  <si>
    <t>ACC DEPRECIATION VALUATION;W</t>
  </si>
  <si>
    <t>8201/8204/8206</t>
  </si>
  <si>
    <t>ACC DEPRECIATION VALUATION;S</t>
  </si>
  <si>
    <t>8201/8204/8207</t>
  </si>
  <si>
    <t>8201/8204/8208</t>
  </si>
  <si>
    <t>8201/8204/8209</t>
  </si>
  <si>
    <t>ACC DEPRECIATION VALUATION;R</t>
  </si>
  <si>
    <t>8201/8205/8201</t>
  </si>
  <si>
    <t>8201/8205/8203</t>
  </si>
  <si>
    <t>8201/8205/8204</t>
  </si>
  <si>
    <t>8201/8205/8205</t>
  </si>
  <si>
    <t>8201/8205/8206</t>
  </si>
  <si>
    <t>8201/8205/8207</t>
  </si>
  <si>
    <t>ACCUMULATED IMPAIRMENT;TFR T</t>
  </si>
  <si>
    <t>8201/8205/8208</t>
  </si>
  <si>
    <t>8201/8205/8209</t>
  </si>
  <si>
    <t>8301/8301/8301</t>
  </si>
  <si>
    <t>LONGTERM DEBTORS;OPENING BAL</t>
  </si>
  <si>
    <t>8301/8301/8303</t>
  </si>
  <si>
    <t>LONGTERM DEBTORS;CAPITALISED</t>
  </si>
  <si>
    <t>8301/8301/8304</t>
  </si>
  <si>
    <t>LONGTERM DEBTORS;REDEEMED DU</t>
  </si>
  <si>
    <t>8301/8301/8305</t>
  </si>
  <si>
    <t>LONGTERM DEBTORS;UNAMORTISED</t>
  </si>
  <si>
    <t>8301/8301/8306</t>
  </si>
  <si>
    <t>LONGTERM DEBTORS;TFR T/F IMP</t>
  </si>
  <si>
    <t>8301/8302/8301</t>
  </si>
  <si>
    <t>EXTERNAL LOANS;OPENING BALAN</t>
  </si>
  <si>
    <t>8301/8302/8303</t>
  </si>
  <si>
    <t>EXTERNAL LOANS;CAPITALISED D</t>
  </si>
  <si>
    <t>8301/8302/8304</t>
  </si>
  <si>
    <t>EXTERNAL LOANS;REDEEMED DURI</t>
  </si>
  <si>
    <t>8301/8302/8305</t>
  </si>
  <si>
    <t>EXTERNAL LOANS;UNAMORTISED D</t>
  </si>
  <si>
    <t>8301/8302/8306</t>
  </si>
  <si>
    <t>EXTERNAL LOANS;TFR T/F IMPAI</t>
  </si>
  <si>
    <t>8301/8303/8301</t>
  </si>
  <si>
    <t>AMANDELHOF OLD AGE HOME ;OPE</t>
  </si>
  <si>
    <t>8301/8303/8303</t>
  </si>
  <si>
    <t>AMANDELHOF OLD AGE HOME ;CAP</t>
  </si>
  <si>
    <t>8301/8303/8304</t>
  </si>
  <si>
    <t>AMANDELHOF OLD AGE HOME ;RED</t>
  </si>
  <si>
    <t>8301/8303/8305</t>
  </si>
  <si>
    <t>AMANDELHOF OLD AGE HOME ;UNA</t>
  </si>
  <si>
    <t>8301/8303/8306</t>
  </si>
  <si>
    <t>AMANDELHOF OLD AGE HOME ;TFR</t>
  </si>
  <si>
    <t>8301/8304/8301</t>
  </si>
  <si>
    <t>Old Balances Feb 2007;OPENIN</t>
  </si>
  <si>
    <t>8301/8304/8303</t>
  </si>
  <si>
    <t>Old Balances Feb 2007;CAPITA</t>
  </si>
  <si>
    <t>8301/8304/8304</t>
  </si>
  <si>
    <t>Old Balances Feb 2007;REDEEM</t>
  </si>
  <si>
    <t>8301/8304/8305</t>
  </si>
  <si>
    <t>Old Balances Feb 2007;UNAMOR</t>
  </si>
  <si>
    <t>8301/8304/8306</t>
  </si>
  <si>
    <t>Old Balances Feb 2007;TFR T/</t>
  </si>
  <si>
    <t>8301/8305/8301</t>
  </si>
  <si>
    <t>EMMANUEL OLD AGE HOME;OPENIN</t>
  </si>
  <si>
    <t>8301/8305/8303</t>
  </si>
  <si>
    <t>EMMANUEL OLD AGE HOME;CAPITA</t>
  </si>
  <si>
    <t>8301/8305/8304</t>
  </si>
  <si>
    <t>EMMANUEL OLD AGE HOME;REDEEM</t>
  </si>
  <si>
    <t>8301/8305/8305</t>
  </si>
  <si>
    <t>EMMANUEL OLD AGE HOME;UNAMOR</t>
  </si>
  <si>
    <t>8301/8305/8306</t>
  </si>
  <si>
    <t>EMMANUEL OLD AGE HOME;TFR T/</t>
  </si>
  <si>
    <t>8301/8306/8301</t>
  </si>
  <si>
    <t xml:space="preserve">OTHER LOANS;OPENING BALANCE </t>
  </si>
  <si>
    <t>8301/8306/8303</t>
  </si>
  <si>
    <t>OTHER LOANS;CAPITALISED DURI</t>
  </si>
  <si>
    <t>8301/8306/8304</t>
  </si>
  <si>
    <t xml:space="preserve">OTHER LOANS;REDEEMED DURING </t>
  </si>
  <si>
    <t>8301/8306/8305</t>
  </si>
  <si>
    <t>OTHER LOANS;UNAMORTISED DISC</t>
  </si>
  <si>
    <t>8301/8306/8306</t>
  </si>
  <si>
    <t>OTHER LOANS;TFR T/F IMPAIRME</t>
  </si>
  <si>
    <t>8301/8307/8301</t>
  </si>
  <si>
    <t>STAFF MOTOR LOANS;OPENING BA</t>
  </si>
  <si>
    <t>8301/8307/8303</t>
  </si>
  <si>
    <t>STAFF MOTOR LOANS;CAPITALISE</t>
  </si>
  <si>
    <t>8301/8307/8304</t>
  </si>
  <si>
    <t>STAFF MOTOR LOANS;REDEEMED D</t>
  </si>
  <si>
    <t>8301/8307/8305</t>
  </si>
  <si>
    <t>STAFF MOTOR LOANS;UNAMORTISE</t>
  </si>
  <si>
    <t>8301/8307/8306</t>
  </si>
  <si>
    <t>STAFF MOTOR LOANS;TFR T/F IM</t>
  </si>
  <si>
    <t>8301/8359/8301</t>
  </si>
  <si>
    <t>IMPAIRMENT:L/TERM RECEIVABLE</t>
  </si>
  <si>
    <t>8301/8359/8306</t>
  </si>
  <si>
    <t>8301/8359/8307</t>
  </si>
  <si>
    <t>8501/8501/8501</t>
  </si>
  <si>
    <t>CONSUMABLES STORES;OPENING B</t>
  </si>
  <si>
    <t>8501/8501/8502</t>
  </si>
  <si>
    <t>CONSUMABLES STORES;TRANSACTI</t>
  </si>
  <si>
    <t>8501/8501/8503</t>
  </si>
  <si>
    <t>CONSUMABLES STORES;PURCHASES</t>
  </si>
  <si>
    <t>8501/8501/8504</t>
  </si>
  <si>
    <t xml:space="preserve">CONSUMABLES STORES;ISSUES   </t>
  </si>
  <si>
    <t>8501/8502/8501</t>
  </si>
  <si>
    <t>MAINTENANCE MATERIAL;OPENING</t>
  </si>
  <si>
    <t>8501/8502/8502</t>
  </si>
  <si>
    <t>MAINTENANCE MATERIAL;TRANSAC</t>
  </si>
  <si>
    <t>8501/8502/8503</t>
  </si>
  <si>
    <t>MAINTENANCE MATERIAL;PURCHAS</t>
  </si>
  <si>
    <t>8501/8502/8504</t>
  </si>
  <si>
    <t xml:space="preserve">MAINTENANCE MATERIAL;ISSUES </t>
  </si>
  <si>
    <t>8501/8503/8501</t>
  </si>
  <si>
    <t>8501/8503/8502</t>
  </si>
  <si>
    <t>WATER;TRANSACTION FOR THE YE</t>
  </si>
  <si>
    <t>8501/8503/8503</t>
  </si>
  <si>
    <t xml:space="preserve">WATER;PURCHASES             </t>
  </si>
  <si>
    <t>8501/8503/8504</t>
  </si>
  <si>
    <t xml:space="preserve">WATER;ISSUES                </t>
  </si>
  <si>
    <t>8501/8504/8501</t>
  </si>
  <si>
    <t xml:space="preserve">SPARE PARTS;OPENING BALANCE </t>
  </si>
  <si>
    <t>8501/8504/8502</t>
  </si>
  <si>
    <t xml:space="preserve">SPARE PARTS;TRANSACTION FOR </t>
  </si>
  <si>
    <t>8501/8504/8503</t>
  </si>
  <si>
    <t xml:space="preserve">SPARE PARTS;PURCHASES       </t>
  </si>
  <si>
    <t>8501/8504/8504</t>
  </si>
  <si>
    <t xml:space="preserve">SPARE PARTS;ISSUES          </t>
  </si>
  <si>
    <t>8501/8505/8501</t>
  </si>
  <si>
    <t xml:space="preserve">OTHER;OPENING BALANCE       </t>
  </si>
  <si>
    <t>8501/8505/8502</t>
  </si>
  <si>
    <t>OTHER;TRANSACTION FOR THE YE</t>
  </si>
  <si>
    <t>8501/8505/8503</t>
  </si>
  <si>
    <t xml:space="preserve">OTHER;PURCHASES             </t>
  </si>
  <si>
    <t>8501/8505/8504</t>
  </si>
  <si>
    <t xml:space="preserve">OTHER;ISSUES                </t>
  </si>
  <si>
    <t>8551/8551/8551</t>
  </si>
  <si>
    <t>ELECTRICITY;BALANCE BEGINNIN</t>
  </si>
  <si>
    <t>8551/8551/8553</t>
  </si>
  <si>
    <t>ELECTRICITY;TRANSACTIONS FOR</t>
  </si>
  <si>
    <t>8551/8552/8551</t>
  </si>
  <si>
    <t>WATER;BALANCE BEGINNING OF Y</t>
  </si>
  <si>
    <t>8551/8552/8553</t>
  </si>
  <si>
    <t>8551/8553/8551</t>
  </si>
  <si>
    <t>VACUUMTANK ;BALANCE BEGINNIN</t>
  </si>
  <si>
    <t>8551/8553/8553</t>
  </si>
  <si>
    <t>VACUUMTANK ;TRANSACTIONS FOR</t>
  </si>
  <si>
    <t>8551/8554/8551</t>
  </si>
  <si>
    <t>SEWER;BALANCE BEGINNING OF Y</t>
  </si>
  <si>
    <t>8551/8554/8553</t>
  </si>
  <si>
    <t>8551/8555/8551</t>
  </si>
  <si>
    <t xml:space="preserve">REFUSE;BALANCE BEGINNING OF </t>
  </si>
  <si>
    <t>8551/8555/8553</t>
  </si>
  <si>
    <t>8551/8556/8551</t>
  </si>
  <si>
    <t>DIVERSE;BALANCE BEGINNING OF</t>
  </si>
  <si>
    <t>8551/8556/8553</t>
  </si>
  <si>
    <t>DIVERSE;TRANSACTIONS FOR THE</t>
  </si>
  <si>
    <t>8551/8557/8551</t>
  </si>
  <si>
    <t>RENT;BALANCE BEGINNING OF YE</t>
  </si>
  <si>
    <t>8551/8557/8553</t>
  </si>
  <si>
    <t>8551/8558/8551</t>
  </si>
  <si>
    <t>ENCROACHMENT FEE;BALANCE BEG</t>
  </si>
  <si>
    <t>8551/8558/8553</t>
  </si>
  <si>
    <t>ENCROACHMENT FEE;TRANSACTION</t>
  </si>
  <si>
    <t>8551/8559/8551</t>
  </si>
  <si>
    <t xml:space="preserve">COMMUNAGE;BALANCE BEGINNING </t>
  </si>
  <si>
    <t>8551/8559/8553</t>
  </si>
  <si>
    <t>COMMUNAGE;TRANSACTIONS FOR T</t>
  </si>
  <si>
    <t>8551/8561/8551</t>
  </si>
  <si>
    <t>OUTSTANDING LOANS;BALANCE BE</t>
  </si>
  <si>
    <t>8551/8561/8553</t>
  </si>
  <si>
    <t>OUTSTANDING LOANS;TRANSACTIO</t>
  </si>
  <si>
    <t>8551/8562/8551</t>
  </si>
  <si>
    <t>CONSOLIDATED DEBT;BALANCE BE</t>
  </si>
  <si>
    <t>8551/8562/8553</t>
  </si>
  <si>
    <t>CONSOLIDATED DEBT;TRANSACTIO</t>
  </si>
  <si>
    <t>8551/8563/8551</t>
  </si>
  <si>
    <t>VAT;BALANCE BEGINNING OF YEA</t>
  </si>
  <si>
    <t>8551/8563/8553</t>
  </si>
  <si>
    <t>VAT;TRANSACTIONS FOR THE YEA</t>
  </si>
  <si>
    <t>8551/8564/8551</t>
  </si>
  <si>
    <t>Provision Bad Debt;BALANCE B</t>
  </si>
  <si>
    <t>8551/8564/8553</t>
  </si>
  <si>
    <t>Provision Bad Debt;TRANSACTI</t>
  </si>
  <si>
    <t>8559/8551/8551</t>
  </si>
  <si>
    <t>8559/8551/8554</t>
  </si>
  <si>
    <t>ELECTRICITY;TRF TO/FROM PROV</t>
  </si>
  <si>
    <t>8559/8552/8551</t>
  </si>
  <si>
    <t>8559/8552/8554</t>
  </si>
  <si>
    <t xml:space="preserve">WATER;TRF TO/FROM PROVISION </t>
  </si>
  <si>
    <t>8559/8553/8551</t>
  </si>
  <si>
    <t>8559/8553/8554</t>
  </si>
  <si>
    <t>VACUUMTANK ;TRF TO/FROM PROV</t>
  </si>
  <si>
    <t>8559/8554/8551</t>
  </si>
  <si>
    <t>8559/8554/8554</t>
  </si>
  <si>
    <t xml:space="preserve">SEWER;TRF TO/FROM PROVISION </t>
  </si>
  <si>
    <t>8559/8555/8551</t>
  </si>
  <si>
    <t>8559/8555/8554</t>
  </si>
  <si>
    <t>REFUSE;TRF TO/FROM PROVISION</t>
  </si>
  <si>
    <t>8559/8556/8551</t>
  </si>
  <si>
    <t>8559/8556/8554</t>
  </si>
  <si>
    <t>DIVERSE;TRF TO/FROM PROVISIO</t>
  </si>
  <si>
    <t>8559/8557/8551</t>
  </si>
  <si>
    <t>8559/8557/8554</t>
  </si>
  <si>
    <t xml:space="preserve">RENT;TRF TO/FROM PROVISION  </t>
  </si>
  <si>
    <t>8559/8558/8551</t>
  </si>
  <si>
    <t>8559/8558/8554</t>
  </si>
  <si>
    <t>ENCROACHMENT FEE;TRF TO/FROM</t>
  </si>
  <si>
    <t>8559/8559/8551</t>
  </si>
  <si>
    <t>8559/8559/8554</t>
  </si>
  <si>
    <t>COMMUNAGE;TRF TO/FROM PROVIS</t>
  </si>
  <si>
    <t>8559/8561/8551</t>
  </si>
  <si>
    <t>8559/8561/8554</t>
  </si>
  <si>
    <t>OUTSTANDING LOANS;TRF TO/FRO</t>
  </si>
  <si>
    <t>8559/8562/8551</t>
  </si>
  <si>
    <t>8559/8562/8554</t>
  </si>
  <si>
    <t>CONSOLIDATED DEBT;TRF TO/FRO</t>
  </si>
  <si>
    <t>8559/8563/8551</t>
  </si>
  <si>
    <t>8559/8563/8554</t>
  </si>
  <si>
    <t xml:space="preserve">VAT;TRF TO/FROM PROVISION   </t>
  </si>
  <si>
    <t>8601/8601/8601</t>
  </si>
  <si>
    <t>AVALIBALITY FEE;BALANCE AT B</t>
  </si>
  <si>
    <t>8601/8601/8603</t>
  </si>
  <si>
    <t>AVALIBALITY FEE;TRANSACTIONS</t>
  </si>
  <si>
    <t>8601/8602/8601</t>
  </si>
  <si>
    <t>RATES;BALANCE AT BEGINNING O</t>
  </si>
  <si>
    <t>8601/8602/8603</t>
  </si>
  <si>
    <t xml:space="preserve">RATES;TRANSACTIONS FOR YEAR </t>
  </si>
  <si>
    <t>8601/8603/8601</t>
  </si>
  <si>
    <t xml:space="preserve">RATES: ARRANGEMENTS;BALANCE </t>
  </si>
  <si>
    <t>8601/8603/8603</t>
  </si>
  <si>
    <t>RATES: ARRANGEMENTS;TRANSACT</t>
  </si>
  <si>
    <t>8601/8604/8601</t>
  </si>
  <si>
    <t>MOTOR VEHICLE REGISTRATION;B</t>
  </si>
  <si>
    <t>8601/8604/8603</t>
  </si>
  <si>
    <t>MOTOR VEHICLE REGISTRATION;T</t>
  </si>
  <si>
    <t>8601/8605/8601</t>
  </si>
  <si>
    <t>DEBTORS FROM SUSPENSE ACC;BA</t>
  </si>
  <si>
    <t>8601/8605/8603</t>
  </si>
  <si>
    <t>DEBTORS FROM SUSPENSE ACC;TR</t>
  </si>
  <si>
    <t>8649/8601/8601</t>
  </si>
  <si>
    <t>8649/8601/8604</t>
  </si>
  <si>
    <t>AVALIBALITY FEE;TRF TO /FROM</t>
  </si>
  <si>
    <t>8649/8602/8601</t>
  </si>
  <si>
    <t>8649/8602/8604</t>
  </si>
  <si>
    <t>RATES;TRF TO /FROM PROVISION</t>
  </si>
  <si>
    <t>8649/8603/8601</t>
  </si>
  <si>
    <t>8649/8603/8604</t>
  </si>
  <si>
    <t>RATES: ARRANGEMENTS;TRF TO /</t>
  </si>
  <si>
    <t>8649/8604/8601</t>
  </si>
  <si>
    <t>8649/8604/8604</t>
  </si>
  <si>
    <t>8651/8651/8651</t>
  </si>
  <si>
    <t>UNPAID COND GOVR GRANT/SUBS;</t>
  </si>
  <si>
    <t>8651/8651/8653</t>
  </si>
  <si>
    <t>8651/8651/8654</t>
  </si>
  <si>
    <t>8701/8701/8701</t>
  </si>
  <si>
    <t>OPERATING LEASE ASSETS;OPENI</t>
  </si>
  <si>
    <t>8701/8701/8703</t>
  </si>
  <si>
    <t>OPERATING LEASE ASSETS;TRANS</t>
  </si>
  <si>
    <t>8751/8751/8751</t>
  </si>
  <si>
    <t>CURRENT PORTION L/T RECEIVAB</t>
  </si>
  <si>
    <t>8751/8751/8754</t>
  </si>
  <si>
    <t>8751/8781/8751</t>
  </si>
  <si>
    <t>EXTERNAL LOANS RECEIVABLES;O</t>
  </si>
  <si>
    <t>8751/8781/8754</t>
  </si>
  <si>
    <t>EXTERNAL LOANS RECEIVABLES;R</t>
  </si>
  <si>
    <t>8801/8801/8801</t>
  </si>
  <si>
    <t>PRIMARY (STANDARD BANK);OPEN</t>
  </si>
  <si>
    <t>8801/8801/8803</t>
  </si>
  <si>
    <t>PRIMARY (STANDARD BANK);TRAN</t>
  </si>
  <si>
    <t>8801/8801/8804</t>
  </si>
  <si>
    <t xml:space="preserve">PRIMARY (STANDARD BANK);TFR </t>
  </si>
  <si>
    <t>8801/8803/8801</t>
  </si>
  <si>
    <t>SECONDARY ABSA BANK - FRASER</t>
  </si>
  <si>
    <t>8801/8803/8803</t>
  </si>
  <si>
    <t>8801/8803/8804</t>
  </si>
  <si>
    <t>8801/8805/8801</t>
  </si>
  <si>
    <t>BANK ACCOUNT - SUTHERLAND;OP</t>
  </si>
  <si>
    <t>8801/8805/8803</t>
  </si>
  <si>
    <t>BANK ACCOUNT - SUTHERLAND;TR</t>
  </si>
  <si>
    <t>8801/8805/8804</t>
  </si>
  <si>
    <t>BANK ACCOUNT - SUTHERLAND;TF</t>
  </si>
  <si>
    <t>8801/8809/8803</t>
  </si>
  <si>
    <t>BANK ACC - STD BANK - ENATIS</t>
  </si>
  <si>
    <t>8802/8801/8801</t>
  </si>
  <si>
    <t>8802/8801/8804</t>
  </si>
  <si>
    <t>8802/8803/8801</t>
  </si>
  <si>
    <t>8802/8803/8804</t>
  </si>
  <si>
    <t>8802/8805/8801</t>
  </si>
  <si>
    <t>8802/8805/8804</t>
  </si>
  <si>
    <t>8803/8802/8801</t>
  </si>
  <si>
    <t>PETTY CASH - WILLISTON;OPENI</t>
  </si>
  <si>
    <t>8803/8802/8803</t>
  </si>
  <si>
    <t>PETTY CASH - WILLISTON;TRANS</t>
  </si>
  <si>
    <t>8803/8804/8801</t>
  </si>
  <si>
    <t>PETTY CASH FRASERBURG;OPENIN</t>
  </si>
  <si>
    <t>8803/8804/8803</t>
  </si>
  <si>
    <t>PETTY CASH FRASERBURG;TRANSA</t>
  </si>
  <si>
    <t>8803/8806/8801</t>
  </si>
  <si>
    <t>PETTY CASH SUTHERLAND;OPENIN</t>
  </si>
  <si>
    <t>8803/8806/8803</t>
  </si>
  <si>
    <t>PETTY CASH SUTHERLAND;TRANSA</t>
  </si>
  <si>
    <t>8803/8807/8801</t>
  </si>
  <si>
    <t xml:space="preserve">CASH;OPENING BALANCE        </t>
  </si>
  <si>
    <t>8803/8807/8803</t>
  </si>
  <si>
    <t>CASH;TRANSACTIONS FOR THE YE</t>
  </si>
  <si>
    <t>8803/8808/8801</t>
  </si>
  <si>
    <t>CASH FLOATS &amp; ADVANCES;OPENI</t>
  </si>
  <si>
    <t>8803/8808/8803</t>
  </si>
  <si>
    <t>CASH FLOATS &amp; ADVANCES;TRANS</t>
  </si>
  <si>
    <t>8804/8810/8801</t>
  </si>
  <si>
    <t>REVOLVINGFUND DEPOSIT;OPENIN</t>
  </si>
  <si>
    <t>8804/8810/8804</t>
  </si>
  <si>
    <t>REVOLVINGFUND DEPOSIT;TFR TO</t>
  </si>
  <si>
    <t>8804/8810/8805</t>
  </si>
  <si>
    <t>REVOLVINGFUND DEPOSIT;INVEST</t>
  </si>
  <si>
    <t>8804/8810/8806</t>
  </si>
  <si>
    <t>REVOLVINGFUND DEPOSIT;INT CA</t>
  </si>
  <si>
    <t>8804/8810/8807</t>
  </si>
  <si>
    <t>REVOLVINGFUND DEPOSIT;SOLD/W</t>
  </si>
  <si>
    <t>8804/8811/8801</t>
  </si>
  <si>
    <t>REVOLVINGFUND SAVING;OPENING</t>
  </si>
  <si>
    <t>8804/8811/8804</t>
  </si>
  <si>
    <t xml:space="preserve">REVOLVINGFUND SAVING;TFR TO </t>
  </si>
  <si>
    <t>8804/8811/8805</t>
  </si>
  <si>
    <t>REVOLVINGFUND SAVING;INVESTE</t>
  </si>
  <si>
    <t>8804/8811/8806</t>
  </si>
  <si>
    <t>REVOLVINGFUND SAVING;INT CAP</t>
  </si>
  <si>
    <t>8804/8811/8807</t>
  </si>
  <si>
    <t>REVOLVINGFUND SAVING;SOLD/WI</t>
  </si>
  <si>
    <t>8804/8812/8801</t>
  </si>
  <si>
    <t>CIVIL DEFENCE DEPOSIT;OPENIN</t>
  </si>
  <si>
    <t>8804/8812/8804</t>
  </si>
  <si>
    <t>CIVIL DEFENCE DEPOSIT;TFR TO</t>
  </si>
  <si>
    <t>8804/8812/8805</t>
  </si>
  <si>
    <t>CIVIL DEFENCE DEPOSIT;INVEST</t>
  </si>
  <si>
    <t>8804/8812/8806</t>
  </si>
  <si>
    <t>CIVIL DEFENCE DEPOSIT;INT CA</t>
  </si>
  <si>
    <t>8804/8812/8807</t>
  </si>
  <si>
    <t>CIVIL DEFENCE DEPOSIT;SOLD/W</t>
  </si>
  <si>
    <t>8804/8813/8801</t>
  </si>
  <si>
    <t>CIVIL DEFENCE SAVINGS;OPENIN</t>
  </si>
  <si>
    <t>8804/8813/8804</t>
  </si>
  <si>
    <t>CIVIL DEFENCE SAVINGS;TFR TO</t>
  </si>
  <si>
    <t>8804/8813/8805</t>
  </si>
  <si>
    <t>CIVIL DEFENCE SAVINGS;INVEST</t>
  </si>
  <si>
    <t>8804/8813/8806</t>
  </si>
  <si>
    <t>CIVIL DEFENCE SAVINGS;INT CA</t>
  </si>
  <si>
    <t>8804/8813/8807</t>
  </si>
  <si>
    <t>CIVIL DEFENCE SAVINGS;SOLD/W</t>
  </si>
  <si>
    <t>8804/8814/8801</t>
  </si>
  <si>
    <t>DOGTAX DEPOSIT;OPENING BALAN</t>
  </si>
  <si>
    <t>8804/8814/8804</t>
  </si>
  <si>
    <t xml:space="preserve">DOGTAX DEPOSIT;TFR TO /FROM </t>
  </si>
  <si>
    <t>8804/8814/8805</t>
  </si>
  <si>
    <t>DOGTAX DEPOSIT;INVESTED DURI</t>
  </si>
  <si>
    <t>8804/8814/8806</t>
  </si>
  <si>
    <t>DOGTAX DEPOSIT;INT CAPITALIS</t>
  </si>
  <si>
    <t>8804/8814/8807</t>
  </si>
  <si>
    <t>DOGTAX DEPOSIT;SOLD/WITHDRAW</t>
  </si>
  <si>
    <t>8804/8815/8801</t>
  </si>
  <si>
    <t>DOGTAX SAVINGS;OPENING BALAN</t>
  </si>
  <si>
    <t>8804/8815/8804</t>
  </si>
  <si>
    <t xml:space="preserve">DOGTAX SAVINGS;TFR TO /FROM </t>
  </si>
  <si>
    <t>8804/8815/8805</t>
  </si>
  <si>
    <t>DOGTAX SAVINGS;INVESTED DURI</t>
  </si>
  <si>
    <t>8804/8815/8806</t>
  </si>
  <si>
    <t>DOGTAX SAVINGS;INT CAPITALIS</t>
  </si>
  <si>
    <t>8804/8815/8807</t>
  </si>
  <si>
    <t>DOGTAX SAVINGS;SOLD/WITHDRAW</t>
  </si>
  <si>
    <t>8804/8816/8801</t>
  </si>
  <si>
    <t xml:space="preserve">HOUSINGFUND DEPOSIT;OPENING </t>
  </si>
  <si>
    <t>8804/8816/8804</t>
  </si>
  <si>
    <t>HOUSINGFUND DEPOSIT;TFR TO /</t>
  </si>
  <si>
    <t>8804/8816/8805</t>
  </si>
  <si>
    <t>HOUSINGFUND DEPOSIT;INVESTED</t>
  </si>
  <si>
    <t>8804/8816/8806</t>
  </si>
  <si>
    <t>HOUSINGFUND DEPOSIT;INT CAPI</t>
  </si>
  <si>
    <t>8804/8816/8807</t>
  </si>
  <si>
    <t>HOUSINGFUND DEPOSIT;SOLD/WIT</t>
  </si>
  <si>
    <t>8804/8817/8801</t>
  </si>
  <si>
    <t xml:space="preserve">HOUSINGFUND SAVINGS;OPENING </t>
  </si>
  <si>
    <t>8804/8817/8804</t>
  </si>
  <si>
    <t>HOUSINGFUND SAVINGS;TFR TO /</t>
  </si>
  <si>
    <t>8804/8817/8805</t>
  </si>
  <si>
    <t>HOUSINGFUND SAVINGS;INVESTED</t>
  </si>
  <si>
    <t>8804/8817/8806</t>
  </si>
  <si>
    <t>HOUSINGFUND SAVINGS;INT CAPI</t>
  </si>
  <si>
    <t>8804/8817/8807</t>
  </si>
  <si>
    <t>HOUSINGFUND SAVINGS;SOLD/WIT</t>
  </si>
  <si>
    <t>8804/8818/8801</t>
  </si>
  <si>
    <t>RENEWAL MACH. &amp; EQUIP. DEPOS</t>
  </si>
  <si>
    <t>8804/8818/8804</t>
  </si>
  <si>
    <t>8804/8818/8805</t>
  </si>
  <si>
    <t>8804/8818/8806</t>
  </si>
  <si>
    <t>8804/8818/8807</t>
  </si>
  <si>
    <t>8804/8819/8801</t>
  </si>
  <si>
    <t>RENEWAL MACH &amp; EQUIP SAVINGS</t>
  </si>
  <si>
    <t>8804/8819/8804</t>
  </si>
  <si>
    <t>8804/8819/8805</t>
  </si>
  <si>
    <t>8804/8819/8806</t>
  </si>
  <si>
    <t>8804/8819/8807</t>
  </si>
  <si>
    <t>8804/8820/8801</t>
  </si>
  <si>
    <t>LEAVE GRATIFICATION DEPOSIT;</t>
  </si>
  <si>
    <t>8804/8820/8804</t>
  </si>
  <si>
    <t>8804/8820/8805</t>
  </si>
  <si>
    <t>8804/8820/8806</t>
  </si>
  <si>
    <t>8804/8820/8807</t>
  </si>
  <si>
    <t>8804/8821/8801</t>
  </si>
  <si>
    <t>LEAVE GRATIFICATION SAVINGS;</t>
  </si>
  <si>
    <t>8804/8821/8804</t>
  </si>
  <si>
    <t>8804/8821/8805</t>
  </si>
  <si>
    <t>8804/8821/8806</t>
  </si>
  <si>
    <t>8804/8821/8807</t>
  </si>
  <si>
    <t>8804/8822/8801</t>
  </si>
  <si>
    <t>8804/8822/8804</t>
  </si>
  <si>
    <t>IDP FUND;TFR TO /FROM OVERDR</t>
  </si>
  <si>
    <t>8804/8822/8805</t>
  </si>
  <si>
    <t>IDP FUND;INVESTED DURING YEA</t>
  </si>
  <si>
    <t>8804/8822/8806</t>
  </si>
  <si>
    <t>IDP FUND;INT CAPITALISED DUR</t>
  </si>
  <si>
    <t>8804/8822/8807</t>
  </si>
  <si>
    <t>IDP FUND;SOLD/WITHDRAWAL DUR</t>
  </si>
  <si>
    <t>8804/8823/8801</t>
  </si>
  <si>
    <t xml:space="preserve">COMBINED SPORT FUND;OPENING </t>
  </si>
  <si>
    <t>8804/8823/8804</t>
  </si>
  <si>
    <t>COMBINED SPORT FUND;TFR TO /</t>
  </si>
  <si>
    <t>8804/8823/8805</t>
  </si>
  <si>
    <t>COMBINED SPORT FUND;INVESTED</t>
  </si>
  <si>
    <t>8804/8823/8806</t>
  </si>
  <si>
    <t>COMBINED SPORT FUND;INT CAPI</t>
  </si>
  <si>
    <t>8804/8823/8807</t>
  </si>
  <si>
    <t>COMBINED SPORT FUND;SOLD/WIT</t>
  </si>
  <si>
    <t>8804/8824/8801</t>
  </si>
  <si>
    <t>8804/8824/8804</t>
  </si>
  <si>
    <t>8804/8824/8805</t>
  </si>
  <si>
    <t>8804/8824/8806</t>
  </si>
  <si>
    <t>8804/8824/8807</t>
  </si>
  <si>
    <t>8804/8825/8801</t>
  </si>
  <si>
    <t>GENERAL REPARATION DEPOSIT;O</t>
  </si>
  <si>
    <t>8804/8825/8804</t>
  </si>
  <si>
    <t>GENERAL REPARATION DEPOSIT;T</t>
  </si>
  <si>
    <t>8804/8825/8805</t>
  </si>
  <si>
    <t>GENERAL REPARATION DEPOSIT;I</t>
  </si>
  <si>
    <t>8804/8825/8806</t>
  </si>
  <si>
    <t>8804/8825/8807</t>
  </si>
  <si>
    <t>GENERAL REPARATION DEPOSIT;S</t>
  </si>
  <si>
    <t>8804/8826/8801</t>
  </si>
  <si>
    <t>GENERAL REPARATION SAVINGS;O</t>
  </si>
  <si>
    <t>8804/8826/8804</t>
  </si>
  <si>
    <t>GENERAL REPARATION SAVINGS;T</t>
  </si>
  <si>
    <t>8804/8826/8805</t>
  </si>
  <si>
    <t>GENERAL REPARATION SAVINGS;I</t>
  </si>
  <si>
    <t>8804/8826/8806</t>
  </si>
  <si>
    <t>8804/8826/8807</t>
  </si>
  <si>
    <t>GENERAL REPARATION SAVINGS;S</t>
  </si>
  <si>
    <t>8804/8827/8801</t>
  </si>
  <si>
    <t>ELECTRIC REPARATION DEPOSIT;</t>
  </si>
  <si>
    <t>8804/8827/8804</t>
  </si>
  <si>
    <t>8804/8827/8805</t>
  </si>
  <si>
    <t>8804/8827/8806</t>
  </si>
  <si>
    <t>8804/8827/8807</t>
  </si>
  <si>
    <t>8804/8828/8801</t>
  </si>
  <si>
    <t>ELECTRIC REPARATION SAVINGS;</t>
  </si>
  <si>
    <t>8804/8828/8804</t>
  </si>
  <si>
    <t>8804/8828/8805</t>
  </si>
  <si>
    <t>8804/8828/8806</t>
  </si>
  <si>
    <t>8804/8828/8807</t>
  </si>
  <si>
    <t>8804/8829/8801</t>
  </si>
  <si>
    <t>8804/8829/8804</t>
  </si>
  <si>
    <t>INTEGRATION FUND;TFR TO /FRO</t>
  </si>
  <si>
    <t>8804/8829/8805</t>
  </si>
  <si>
    <t>INTEGRATION FUND;INVESTED DU</t>
  </si>
  <si>
    <t>8804/8829/8806</t>
  </si>
  <si>
    <t>INTEGRATION FUND;INT CAPITAL</t>
  </si>
  <si>
    <t>8804/8829/8807</t>
  </si>
  <si>
    <t>INTEGRATION FUND;SOLD/WITHDR</t>
  </si>
  <si>
    <t>8804/8830/8801</t>
  </si>
  <si>
    <t>8804/8830/8804</t>
  </si>
  <si>
    <t xml:space="preserve">COMMUNITY SPORT FUND;TFR TO </t>
  </si>
  <si>
    <t>8804/8830/8805</t>
  </si>
  <si>
    <t>COMMUNITY SPORT FUND;INVESTE</t>
  </si>
  <si>
    <t>8804/8830/8806</t>
  </si>
  <si>
    <t>COMMUNITY SPORT FUND;INT CAP</t>
  </si>
  <si>
    <t>8804/8830/8807</t>
  </si>
  <si>
    <t>COMMUNITY SPORT FUND;SOLD/WI</t>
  </si>
  <si>
    <t>8804/8840/8801</t>
  </si>
  <si>
    <t>DEPOSIT:FUEL;OPENING BALANCE</t>
  </si>
  <si>
    <t>8804/8840/8803</t>
  </si>
  <si>
    <t>DEPOSIT:FUEL;TRANSACTIONS FO</t>
  </si>
  <si>
    <t>8805/8850/8801</t>
  </si>
  <si>
    <t>ABSA INEG ACCOUNT;OPENING BA</t>
  </si>
  <si>
    <t>8805/8850/8803</t>
  </si>
  <si>
    <t>ABSA INEG ACCOUNT;TRANSACTIO</t>
  </si>
  <si>
    <t>8805/8851/8801</t>
  </si>
  <si>
    <t>ABSA FMG ACCOUNT;OPENING BAL</t>
  </si>
  <si>
    <t>8805/8851/8803</t>
  </si>
  <si>
    <t>ABSA FMG ACCOUNT;TRANSACTION</t>
  </si>
  <si>
    <t>8805/8852/8801</t>
  </si>
  <si>
    <t>ABSA MSIG ACCOUNT;OPENING BA</t>
  </si>
  <si>
    <t>8805/8852/8803</t>
  </si>
  <si>
    <t>ABSA MSIG ACCOUNT;TRANSACTIO</t>
  </si>
  <si>
    <t>8805/8853/8801</t>
  </si>
  <si>
    <t>ABSA MIG ACCOUNT;OPENING BAL</t>
  </si>
  <si>
    <t>8805/8853/8803</t>
  </si>
  <si>
    <t>ABSA MIG ACCOUNT;TRANSACTION</t>
  </si>
  <si>
    <t>8805/8854/8801</t>
  </si>
  <si>
    <t>ABSA LIB DEV FUND ACCOUNT;OP</t>
  </si>
  <si>
    <t>8805/8854/8803</t>
  </si>
  <si>
    <t>ABSA LIB DEV FUND ACCOUNT;TR</t>
  </si>
  <si>
    <t>8805/8855/8801</t>
  </si>
  <si>
    <t>ABSA EPWP ACCOUNT;OPENING BA</t>
  </si>
  <si>
    <t>8805/8855/8803</t>
  </si>
  <si>
    <t>ABSA EPWP ACCOUNT;TRANSACTIO</t>
  </si>
  <si>
    <t>9001/9001/9001</t>
  </si>
  <si>
    <t>Bank Transfer Suspense Acc;O</t>
  </si>
  <si>
    <t>9001/9001/9002</t>
  </si>
  <si>
    <t>Bank Transfer Suspense Acc;T</t>
  </si>
  <si>
    <t>9001/9002/9001</t>
  </si>
  <si>
    <t>IMBIZO Sutherland;OPENING BA</t>
  </si>
  <si>
    <t>9001/9002/9002</t>
  </si>
  <si>
    <t>IMBIZO Sutherland;TRANSACTIO</t>
  </si>
  <si>
    <t>9001/9003/9001</t>
  </si>
  <si>
    <t>Afwag Reperasiefonds;OPENING</t>
  </si>
  <si>
    <t>9001/9003/9002</t>
  </si>
  <si>
    <t>Afwag Reperasiefonds;TRANSAC</t>
  </si>
  <si>
    <t>9001/9004/9001</t>
  </si>
  <si>
    <t>Afwagrekening Amandelboomfee</t>
  </si>
  <si>
    <t>9001/9004/9002</t>
  </si>
  <si>
    <t>9001/9005/9001</t>
  </si>
  <si>
    <t>Kantoorverskuiwing;OPENING B</t>
  </si>
  <si>
    <t>9001/9005/9002</t>
  </si>
  <si>
    <t>Kantoorverskuiwing;TRANSACTI</t>
  </si>
  <si>
    <t>9001/9006/9001</t>
  </si>
  <si>
    <t>Afwagrekening Vigs;OPENING B</t>
  </si>
  <si>
    <t>9001/9006/9002</t>
  </si>
  <si>
    <t>Afwagrekening Vigs;TRANSACTI</t>
  </si>
  <si>
    <t>9001/9007/9001</t>
  </si>
  <si>
    <t>Afwag BM Projek Distriksraad</t>
  </si>
  <si>
    <t>9001/9007/9002</t>
  </si>
  <si>
    <t>9001/9008/9001</t>
  </si>
  <si>
    <t>SUSPENCE ACCOUNT ERF 857;OPE</t>
  </si>
  <si>
    <t>9001/9008/9002</t>
  </si>
  <si>
    <t>SUSPENCE ACCOUNT ERF 857;TRA</t>
  </si>
  <si>
    <t>9001/9009/9001</t>
  </si>
  <si>
    <t xml:space="preserve">Fuel;OPENING BALANCES       </t>
  </si>
  <si>
    <t>9001/9009/9002</t>
  </si>
  <si>
    <t>Fuel;TRANSACTIONS FOR THE YE</t>
  </si>
  <si>
    <t>9001/9010/9001</t>
  </si>
  <si>
    <t xml:space="preserve">Housing;OPENING BALANCES    </t>
  </si>
  <si>
    <t>9001/9010/9002</t>
  </si>
  <si>
    <t>Housing;TRANSACTIONS FOR THE</t>
  </si>
  <si>
    <t>9001/9011/9001</t>
  </si>
  <si>
    <t>WATERPROJECT;OPENING BALANCE</t>
  </si>
  <si>
    <t>9001/9011/9002</t>
  </si>
  <si>
    <t>WATERPROJECT;TRANSACTIONS FO</t>
  </si>
  <si>
    <t>9001/9012/9001</t>
  </si>
  <si>
    <t>Water Project;OPENING BALANC</t>
  </si>
  <si>
    <t>9001/9012/9002</t>
  </si>
  <si>
    <t>Water Project;TRANSACTIONS F</t>
  </si>
  <si>
    <t>9001/9013/9001</t>
  </si>
  <si>
    <t xml:space="preserve">Housingfund Savings;OPENING </t>
  </si>
  <si>
    <t>9001/9013/9002</t>
  </si>
  <si>
    <t>Housingfund Savings;TRANSACT</t>
  </si>
  <si>
    <t>9001/9014/9001</t>
  </si>
  <si>
    <t>Planning Noodkamp Deposit;OP</t>
  </si>
  <si>
    <t>9001/9014/9002</t>
  </si>
  <si>
    <t>Planning Noodkamp Deposit;TR</t>
  </si>
  <si>
    <t>9001/9015/9001</t>
  </si>
  <si>
    <t>Renewal Mach &amp; Equip Depos;O</t>
  </si>
  <si>
    <t>9001/9015/9002</t>
  </si>
  <si>
    <t>Renewal Mach &amp; Equip Depos;T</t>
  </si>
  <si>
    <t>9001/9016/9001</t>
  </si>
  <si>
    <t>Renewal Mach &amp; Equip Savings</t>
  </si>
  <si>
    <t>9001/9016/9002</t>
  </si>
  <si>
    <t>9001/9017/9001</t>
  </si>
  <si>
    <t>General Reparation Deposit;O</t>
  </si>
  <si>
    <t>9001/9017/9002</t>
  </si>
  <si>
    <t>General Reparation Deposit;T</t>
  </si>
  <si>
    <t>9001/9018/9001</t>
  </si>
  <si>
    <t xml:space="preserve">G O P;OPENING BALANCES      </t>
  </si>
  <si>
    <t>9001/9018/9002</t>
  </si>
  <si>
    <t>G O P;TRANSACTIONS FOR THE Y</t>
  </si>
  <si>
    <t>9001/9019/9001</t>
  </si>
  <si>
    <t>Integrasiefondse;OPENING BAL</t>
  </si>
  <si>
    <t>9001/9019/9002</t>
  </si>
  <si>
    <t>Integrasiefondse;TRANSACTION</t>
  </si>
  <si>
    <t>9001/9020/9001</t>
  </si>
  <si>
    <t xml:space="preserve">LED Fondse;OPENING BALANCES </t>
  </si>
  <si>
    <t>9001/9020/9002</t>
  </si>
  <si>
    <t xml:space="preserve">LED Fondse;TRANSACTIONS FOR </t>
  </si>
  <si>
    <t>9001/9021/9001</t>
  </si>
  <si>
    <t>Biblioteekontwikkeling;OPENI</t>
  </si>
  <si>
    <t>9001/9021/9002</t>
  </si>
  <si>
    <t>Biblioteekontwikkeling;TRANS</t>
  </si>
  <si>
    <t>9001/9022/9001</t>
  </si>
  <si>
    <t>Afwagrekening Oksidasiedamme</t>
  </si>
  <si>
    <t>9001/9022/9002</t>
  </si>
  <si>
    <t>9001/9023/9001</t>
  </si>
  <si>
    <t>Prepaid Meters;OPENING BALAN</t>
  </si>
  <si>
    <t>9001/9023/9002</t>
  </si>
  <si>
    <t xml:space="preserve">Prepaid Meters;TRANSACTIONS </t>
  </si>
  <si>
    <t>9001/9024/9001</t>
  </si>
  <si>
    <t xml:space="preserve">CARRY OVER YEAR END;OPENING </t>
  </si>
  <si>
    <t>9001/9024/9002</t>
  </si>
  <si>
    <t>CARRY OVER YEAR END;TRANSACT</t>
  </si>
  <si>
    <t>9001/9025/9001</t>
  </si>
  <si>
    <t>CASH SUSPENCE;OPENING BALANC</t>
  </si>
  <si>
    <t>9001/9025/9002</t>
  </si>
  <si>
    <t>CASH SUSPENCE;TRANSACTIONS F</t>
  </si>
  <si>
    <t>9001/9026/9001</t>
  </si>
  <si>
    <t>Consumer Deposit Remote;OPEN</t>
  </si>
  <si>
    <t>9001/9026/9002</t>
  </si>
  <si>
    <t>Consumer Deposit Remote;TRAN</t>
  </si>
  <si>
    <t>9001/9027/9001</t>
  </si>
  <si>
    <t>DEPOSIT REFUND SUSPENSE;OPEN</t>
  </si>
  <si>
    <t>9001/9027/9002</t>
  </si>
  <si>
    <t>DEPOSIT REFUND SUSPENSE;TRAN</t>
  </si>
  <si>
    <t>9001/9028/9001</t>
  </si>
  <si>
    <t>DEPOSIT CLOSED ACCOUNTS;OPEN</t>
  </si>
  <si>
    <t>9001/9028/9002</t>
  </si>
  <si>
    <t>DEPOSIT CLOSED ACCOUNTS;TRAN</t>
  </si>
  <si>
    <t>9001/9029/9001</t>
  </si>
  <si>
    <t>ACB /Departmental Suspence;O</t>
  </si>
  <si>
    <t>9001/9029/9002</t>
  </si>
  <si>
    <t>ACB /Departmental Suspence;T</t>
  </si>
  <si>
    <t>9001/9030/9001</t>
  </si>
  <si>
    <t>GENERAL SUSPENCE;OPENING BAL</t>
  </si>
  <si>
    <t>9001/9030/9002</t>
  </si>
  <si>
    <t>GENERAL SUSPENCE;TRANSACTION</t>
  </si>
  <si>
    <t>9001/9031/9001</t>
  </si>
  <si>
    <t>TRANSFER SUSPENCE;OPENING BA</t>
  </si>
  <si>
    <t>9001/9031/9002</t>
  </si>
  <si>
    <t>TRANSFER SUSPENCE;TRANSACTIO</t>
  </si>
  <si>
    <t>9001/9032/9001</t>
  </si>
  <si>
    <t>Capitalise debt Suspence;OPE</t>
  </si>
  <si>
    <t>9001/9032/9002</t>
  </si>
  <si>
    <t>Capitalise debt Suspence;TRA</t>
  </si>
  <si>
    <t>9001/9033/9001</t>
  </si>
  <si>
    <t>PAYROLL SUSPENCE Salaries;OP</t>
  </si>
  <si>
    <t>9001/9033/9002</t>
  </si>
  <si>
    <t>PAYROLL SUSPENCE Salaries;TR</t>
  </si>
  <si>
    <t>9001/9034/9001</t>
  </si>
  <si>
    <t>BALANCE B/F;OPENING BALANCES</t>
  </si>
  <si>
    <t>9001/9034/9002</t>
  </si>
  <si>
    <t>BALANCE B/F;TRANSACTIONS FOR</t>
  </si>
  <si>
    <t>9001/9035/9001</t>
  </si>
  <si>
    <t>Recoverable Fees;OPENING BAL</t>
  </si>
  <si>
    <t>9001/9035/9002</t>
  </si>
  <si>
    <t>Recoverable Fees;TRANSACTION</t>
  </si>
  <si>
    <t>9001/9036/9001</t>
  </si>
  <si>
    <t xml:space="preserve">CAR LOANS;OPENING BALANCES  </t>
  </si>
  <si>
    <t>9001/9036/9002</t>
  </si>
  <si>
    <t>CAR LOANS;TRANSACTIONS FOR T</t>
  </si>
  <si>
    <t>9001/9037/9001</t>
  </si>
  <si>
    <t xml:space="preserve">INSURANCE;OPENING BALANCES  </t>
  </si>
  <si>
    <t>9001/9037/9002</t>
  </si>
  <si>
    <t>INSURANCE;TRANSACTIONS FOR T</t>
  </si>
  <si>
    <t>9001/9038/9001</t>
  </si>
  <si>
    <t>Natis balancing vote;OPENING</t>
  </si>
  <si>
    <t>9001/9038/9002</t>
  </si>
  <si>
    <t>Natis balancing vote;TRANSAC</t>
  </si>
  <si>
    <t>9001/9039/9001</t>
  </si>
  <si>
    <t>ADVANCE PAYMENTS;OPENING BAL</t>
  </si>
  <si>
    <t>9001/9039/9002</t>
  </si>
  <si>
    <t>ADVANCE PAYMENTS;TRANSACTION</t>
  </si>
  <si>
    <t>9001/9040/9001</t>
  </si>
  <si>
    <t>Payroll Suspence: Wages;OPEN</t>
  </si>
  <si>
    <t>9001/9040/9002</t>
  </si>
  <si>
    <t>Payroll Suspence: Wages;TRAN</t>
  </si>
  <si>
    <t>9001/9041/9002</t>
  </si>
  <si>
    <t>Employees: Tea Club contribu</t>
  </si>
  <si>
    <t>9001/9045/9001</t>
  </si>
  <si>
    <t>Solar Deposits ;OPENING BALA</t>
  </si>
  <si>
    <t>9001/9045/9002</t>
  </si>
  <si>
    <t>Solar Deposits ;TRANSACTIONS</t>
  </si>
  <si>
    <t>9001/9046/9001</t>
  </si>
  <si>
    <t>Solar Deposits Indigents;OPE</t>
  </si>
  <si>
    <t>9001/9046/9002</t>
  </si>
  <si>
    <t>Solar Deposits Indigents;TRA</t>
  </si>
  <si>
    <t>9001/9050/9002</t>
  </si>
  <si>
    <t>Natis Suspence Account;TRANS</t>
  </si>
  <si>
    <t>9501/9501/9501</t>
  </si>
  <si>
    <t>9502/9502/9501</t>
  </si>
  <si>
    <t>Elect Upgrade (dbsa);TRANSAC</t>
  </si>
  <si>
    <t>9503/9503/9501</t>
  </si>
  <si>
    <t>Bulk Meters (dwaf);TRANSACTI</t>
  </si>
  <si>
    <t>9504/9504/9501</t>
  </si>
  <si>
    <t>Mayoral Project;TRANSACTIONS</t>
  </si>
  <si>
    <t>9504/9505/9501</t>
  </si>
  <si>
    <t xml:space="preserve">Stargate (led);TRANSACTIONS </t>
  </si>
  <si>
    <t>9504/9506/9501</t>
  </si>
  <si>
    <t>Getaway Jhb (led);TRANSACTIO</t>
  </si>
  <si>
    <t>9504/9507/9501</t>
  </si>
  <si>
    <t>SALT Cycle Tour (led);TRANSA</t>
  </si>
  <si>
    <t>9504/9508/9501</t>
  </si>
  <si>
    <t>PRODUCT DEVELOP (LED);TRANSA</t>
  </si>
  <si>
    <t>9504/9509/9501</t>
  </si>
  <si>
    <t>WEBSITE (LED);TRANSACTIONS F</t>
  </si>
  <si>
    <t>9504/9510/9501</t>
  </si>
  <si>
    <t>MAP (LED);TRANSACTIONS FOR T</t>
  </si>
  <si>
    <t>9504/9511/9501</t>
  </si>
  <si>
    <t>SIGNS (LED);TRANSACTIONS FOR</t>
  </si>
  <si>
    <t>9504/9512/9501</t>
  </si>
  <si>
    <t>PLANETARY HIGHWAY (LED);TRAN</t>
  </si>
  <si>
    <t>9504/9513/9501</t>
  </si>
  <si>
    <t xml:space="preserve">POSTCARD (LED);TRANSACTIONS </t>
  </si>
  <si>
    <t>9504/9514/9501</t>
  </si>
  <si>
    <t>GUESTHOUSES (LED);TRANSACTIO</t>
  </si>
  <si>
    <t>9504/9515/9501</t>
  </si>
  <si>
    <t>FUNDRAISING (LED);TRANSACTIO</t>
  </si>
  <si>
    <t>9504/9516/9501</t>
  </si>
  <si>
    <t>BRAIN CENTRE (LED);TRANSACTI</t>
  </si>
  <si>
    <t>9504/9517/9501</t>
  </si>
  <si>
    <t>SCREENPRINTING (PREMIER);TRA</t>
  </si>
  <si>
    <t>9504/9518/9501</t>
  </si>
  <si>
    <t>SKEP (SKEP);TRANSACTIONS FOR</t>
  </si>
  <si>
    <t>9504/9519/9501</t>
  </si>
  <si>
    <t>FORT DAVIS (LED);TRANSACTION</t>
  </si>
  <si>
    <t>9504/9520/9501</t>
  </si>
  <si>
    <t>INT. NETWORK (LED);TRANSACTI</t>
  </si>
  <si>
    <t>9504/9521/9501</t>
  </si>
  <si>
    <t>LAND REFORM (MSIG);TRANSACTI</t>
  </si>
  <si>
    <t>9504/9522/9501</t>
  </si>
  <si>
    <t>TULIPS (PREMIER);TRANSACTION</t>
  </si>
  <si>
    <t>9504/9523/9501</t>
  </si>
  <si>
    <t>SPORT FACILITIES (LOTO);TRAN</t>
  </si>
  <si>
    <t>9504/9524/9501</t>
  </si>
  <si>
    <t>EQUIPMENT (LOTTO);TRANSACTIO</t>
  </si>
  <si>
    <t>9504/9525/9501</t>
  </si>
  <si>
    <t>TRAVELLING (LED);TRANSACTION</t>
  </si>
  <si>
    <t>9504/9526/9501</t>
  </si>
  <si>
    <t>TRAVELLING ART 21 (LED);TRAN</t>
  </si>
  <si>
    <t>9504/9527/9501</t>
  </si>
  <si>
    <t>BROCHURES (LED);TRANSACTIONS</t>
  </si>
  <si>
    <t>9505/9528/9501</t>
  </si>
  <si>
    <t>MAYORAL PROJECT;TRANSACTIONS</t>
  </si>
  <si>
    <t>9505/9529/9501</t>
  </si>
  <si>
    <t>ADVERTISEMENT (GOP);TRANSACT</t>
  </si>
  <si>
    <t>9505/9530/9501</t>
  </si>
  <si>
    <t>BROCHURES (GOP);TRANSACTIONS</t>
  </si>
  <si>
    <t>9505/9531/9501</t>
  </si>
  <si>
    <t>TRAVELLING (GOP);TRANSACTION</t>
  </si>
  <si>
    <t>9505/9532/9501</t>
  </si>
  <si>
    <t>EQUIPMENT (GOP);TRANSACTIONS</t>
  </si>
  <si>
    <t>9505/9533/9501</t>
  </si>
  <si>
    <t>NEWS LETTER (GOP);TRANSACTIO</t>
  </si>
  <si>
    <t>9505/9534/9501</t>
  </si>
  <si>
    <t>E-PERFORM (GOP);TRANSACTIONS</t>
  </si>
  <si>
    <t>9505/9535/9501</t>
  </si>
  <si>
    <t>WARD 1 (VUNA);TRANSACTIONS F</t>
  </si>
  <si>
    <t>9505/9536/9501</t>
  </si>
  <si>
    <t>WARD 2 (VUNA);TRANSACTIONS F</t>
  </si>
  <si>
    <t>9505/9537/9501</t>
  </si>
  <si>
    <t>BURSARIES (VUNA);TRANSACTION</t>
  </si>
  <si>
    <t>9505/9538/9501</t>
  </si>
  <si>
    <t>WARD 4 NATIS (VUNA);TRANSACT</t>
  </si>
  <si>
    <t>9506/9539/9501</t>
  </si>
  <si>
    <t>9506/9540/9501</t>
  </si>
  <si>
    <t>SPATIAL DEVELOP (MSIG);TRANS</t>
  </si>
  <si>
    <t>9506/9541/9501</t>
  </si>
  <si>
    <t>POLICY (MSIG);TRANSACTIONS F</t>
  </si>
  <si>
    <t>9506/9542/9501</t>
  </si>
  <si>
    <t xml:space="preserve">GIS (DBSA);TRANSACTIONS FOR </t>
  </si>
  <si>
    <t>9506/9543/9501</t>
  </si>
  <si>
    <t>CRISIS MANAGEMENT (MSIG);TRA</t>
  </si>
  <si>
    <t>9506/9544/9501</t>
  </si>
  <si>
    <t>SKILLS DEVELOP (SETA);TRANSA</t>
  </si>
  <si>
    <t>9506/9545/9501</t>
  </si>
  <si>
    <t>MANAGEMENT DEVEL (VUNA);TRAN</t>
  </si>
  <si>
    <t>9506/9546/9501</t>
  </si>
  <si>
    <t>PERFROMAMNCE MNG (INTEGR);TR</t>
  </si>
  <si>
    <t>9506/9547/9501</t>
  </si>
  <si>
    <t>LAND PLANNING;TRANSACTIONS F</t>
  </si>
  <si>
    <t>9507/3056/0000</t>
  </si>
  <si>
    <t>9507/9548/9501</t>
  </si>
  <si>
    <t>9507/9549/9501</t>
  </si>
  <si>
    <t>Treasury (msig);TRANSACTIONS</t>
  </si>
  <si>
    <t>9507/9550/9501</t>
  </si>
  <si>
    <t>CONSULTANTS (MFMG);TRANSACTI</t>
  </si>
  <si>
    <t>9507/9551/9501</t>
  </si>
  <si>
    <t>TELEPHONE (MSP);TRANSACTIONS</t>
  </si>
  <si>
    <t>9507/9552/9501</t>
  </si>
  <si>
    <t>VALUATION (MSIG);TRANSACTION</t>
  </si>
  <si>
    <t>9507/9553/9501</t>
  </si>
  <si>
    <t>HOUSING TRANSF (HOUSE);TRANS</t>
  </si>
  <si>
    <t>9507/9557/9501</t>
  </si>
  <si>
    <t xml:space="preserve">SALARY;TRANSACTIONS FOR THE </t>
  </si>
  <si>
    <t>9507/9558/9501</t>
  </si>
  <si>
    <t>UIF;TRANSACTIONS FOR THE YEA</t>
  </si>
  <si>
    <t>9507/9559/9501</t>
  </si>
  <si>
    <t>BARGANING COUNCIL;TRANSACTIO</t>
  </si>
  <si>
    <t>9508/9554/9501</t>
  </si>
  <si>
    <t>Road Wil/Fras (epwp);TRANSAC</t>
  </si>
  <si>
    <t>9509/9555/9501</t>
  </si>
  <si>
    <t>9509/9556/9501</t>
  </si>
  <si>
    <t>Replace Vehicle (dbsa);TRANS</t>
  </si>
  <si>
    <t>9510/3000/0000</t>
  </si>
  <si>
    <t>9510/3001/0000</t>
  </si>
  <si>
    <t>9510/3006/0000</t>
  </si>
  <si>
    <t>9510/3050/0000</t>
  </si>
  <si>
    <t>9510/3051/0000</t>
  </si>
  <si>
    <t>9510/3052/0000</t>
  </si>
  <si>
    <t>9510/3053/0000</t>
  </si>
  <si>
    <t>9510/3056/0000</t>
  </si>
  <si>
    <t>9510/3057/0000</t>
  </si>
  <si>
    <t>9510/3058/0000</t>
  </si>
  <si>
    <t>9510/3683/0000</t>
  </si>
  <si>
    <t>9510/9557/9501</t>
  </si>
  <si>
    <t>9510/9558/9501</t>
  </si>
  <si>
    <t>9510/9559/9501</t>
  </si>
  <si>
    <t>9510/9560/9501</t>
  </si>
  <si>
    <t>Library Develop (msig);TRANS</t>
  </si>
  <si>
    <t>9511/9561/9501</t>
  </si>
  <si>
    <t>9511/9562/9501</t>
  </si>
  <si>
    <t>Offices Will (rep);TRANSACTI</t>
  </si>
  <si>
    <t>9511/9563/9501</t>
  </si>
  <si>
    <t>RECEPTION (VUNA);TRANSACTION</t>
  </si>
  <si>
    <t>9512/9564/9501</t>
  </si>
  <si>
    <t>Oxidation (cmip);TRANSACTION</t>
  </si>
  <si>
    <t>9512/9565/9501</t>
  </si>
  <si>
    <t>BUCKETS WILL (DM);TRANSACTIO</t>
  </si>
  <si>
    <t>DEPARTMENT</t>
  </si>
  <si>
    <t>LEDGER VOTE</t>
  </si>
  <si>
    <t>DESCRIPTION</t>
  </si>
  <si>
    <t>ORIGINAL BUDGET 2014/2015</t>
  </si>
  <si>
    <t>ACTUALS 2014/2015</t>
  </si>
  <si>
    <t>PROJECTED 2014/2015</t>
  </si>
  <si>
    <t>Income</t>
  </si>
  <si>
    <t>Expenditure</t>
  </si>
  <si>
    <t>Total Operating Income</t>
  </si>
  <si>
    <t>Total Operating Expenditure</t>
  </si>
  <si>
    <t>COUNCIL GENERAL</t>
  </si>
  <si>
    <t>(Surplus)/Deficit</t>
  </si>
  <si>
    <t>BUDGET &amp; TREASURY</t>
  </si>
  <si>
    <t>RATES</t>
  </si>
  <si>
    <t>CORPORATE SERVICES</t>
  </si>
  <si>
    <t>PROJEKEENHEID</t>
  </si>
  <si>
    <t>LIBRARIES</t>
  </si>
  <si>
    <t>COMMONAGE</t>
  </si>
  <si>
    <t>TOWN HALL &amp; BUILDINGS</t>
  </si>
  <si>
    <t>TELEVISION</t>
  </si>
  <si>
    <t>CEMETERIES</t>
  </si>
  <si>
    <t>PARKS &amp; RECREATION</t>
  </si>
  <si>
    <t>HEALTH</t>
  </si>
  <si>
    <t>ECONOMIC DEVELOPMENT</t>
  </si>
  <si>
    <t>STREETS &amp; PUBLIC WORKS</t>
  </si>
  <si>
    <t>CIVIL ELECTRO TECHNICAL</t>
  </si>
  <si>
    <t>STREETLIGHTS</t>
  </si>
  <si>
    <t>ELECTRICITY</t>
  </si>
  <si>
    <t>WATER</t>
  </si>
  <si>
    <t>SANITATION</t>
  </si>
  <si>
    <t>Department</t>
  </si>
  <si>
    <t>Budget Income</t>
  </si>
  <si>
    <t>Actual Income</t>
  </si>
  <si>
    <t>Projected Income</t>
  </si>
  <si>
    <t>Budget Expenditure</t>
  </si>
  <si>
    <t>Actual Expenditure</t>
  </si>
  <si>
    <t>Projected Expenditure</t>
  </si>
  <si>
    <t>Budget (Surplus)/Deficit</t>
  </si>
  <si>
    <t>Actual (Surplus)/Deficit</t>
  </si>
  <si>
    <t>Projected (Surplus)/Deficit</t>
  </si>
  <si>
    <t>Moet wees Municipal Systems Improvement Grant</t>
  </si>
  <si>
    <t>Waar word die MM voor begroot ?</t>
  </si>
  <si>
    <t>Admin costs is dit  volgens GRAP ?</t>
  </si>
  <si>
    <t>Street lights be incorporated in Electricity</t>
  </si>
  <si>
    <t>Civil Electro Technical be incorporated in Electricity</t>
  </si>
  <si>
    <t>The Department Economic Development should be Planning and Development</t>
  </si>
  <si>
    <t>Sanitation and refuse must be split  Sanitation should read Waste Water Management and refuse should read Waste Management</t>
  </si>
  <si>
    <t>Streets and Public Works should read Roads Transport</t>
  </si>
  <si>
    <t>Television to be incorporated in????</t>
  </si>
  <si>
    <t>GFS CLASS</t>
  </si>
  <si>
    <t>EXECUTIVE AND COUNCIL</t>
  </si>
  <si>
    <t>FINANCE</t>
  </si>
  <si>
    <t>COMMUNITY &amp; SOCIAL</t>
  </si>
  <si>
    <t>PLANNING &amp; DEVELOPMENT</t>
  </si>
  <si>
    <t>ROADS &amp; STORMWATER</t>
  </si>
  <si>
    <t>WASTE WATER MANAGEMENT</t>
  </si>
  <si>
    <t>SPORT &amp; RECREATION</t>
  </si>
  <si>
    <t>PROPERTIES</t>
  </si>
  <si>
    <t>?????</t>
  </si>
  <si>
    <t>??????</t>
  </si>
  <si>
    <t>naamlik "Indigent Subsidies"</t>
  </si>
  <si>
    <t>Rates can income forgone as n negatiewe inkomste he maar die ander dienste se kortings moet as indigent subsidies  as n general expense geklassifisseer word</t>
  </si>
  <si>
    <t>BUDGET 2015/2016</t>
  </si>
  <si>
    <t>BUDGET 2016/2017</t>
  </si>
  <si>
    <t>BUDGET 2017/2018</t>
  </si>
  <si>
    <t>Mun System  Improvement Grant (Ex</t>
  </si>
  <si>
    <t>0002/3631/0000</t>
  </si>
  <si>
    <t>Health Officer;</t>
  </si>
  <si>
    <t>0002/3634/0000</t>
  </si>
  <si>
    <t>REFUSE</t>
  </si>
  <si>
    <t>Commission Pre Paid</t>
  </si>
  <si>
    <t>Budget Expenditure 2015/2016</t>
  </si>
  <si>
    <t>Mun System Improvement Grant(Inc)</t>
  </si>
  <si>
    <t>Council General</t>
  </si>
  <si>
    <t>Finance</t>
  </si>
  <si>
    <t>Rates</t>
  </si>
  <si>
    <t>Libraries</t>
  </si>
  <si>
    <t>Commonage</t>
  </si>
  <si>
    <t>Town Hall &amp; Buildings</t>
  </si>
  <si>
    <t>Cemeteries</t>
  </si>
  <si>
    <t>Parks &amp; Recreation</t>
  </si>
  <si>
    <t>Streets and Public Works</t>
  </si>
  <si>
    <t>Electricity</t>
  </si>
  <si>
    <t>Water</t>
  </si>
  <si>
    <t>Sanitation</t>
  </si>
  <si>
    <t>Refuse</t>
  </si>
  <si>
    <t>Beleid na Boere Unies</t>
  </si>
  <si>
    <t>Algemeen opgradering van Dorpe Alamal gebruik dorpe se infrastruktuur</t>
  </si>
  <si>
    <t>Operasionele uitgawes soos Salarisse ,advertensies,ouditgelde etc.</t>
  </si>
  <si>
    <t>Call out fees</t>
  </si>
  <si>
    <t>Penalties Tampering</t>
  </si>
  <si>
    <t>Free Basic Services</t>
  </si>
  <si>
    <t>2 Fone</t>
  </si>
  <si>
    <t>Geen Cherry Picker Stukkend</t>
  </si>
  <si>
    <t>Escom rekeninge konsolideer</t>
  </si>
  <si>
    <t xml:space="preserve">Maintenance- Meters;     </t>
  </si>
  <si>
    <t>Maintenance- Streetlights</t>
  </si>
  <si>
    <t>Cherry Picker Sleepwa</t>
  </si>
  <si>
    <t>Stationary</t>
  </si>
  <si>
    <t>Computer Upgrading</t>
  </si>
  <si>
    <t>Water : Reconnection Fee</t>
  </si>
  <si>
    <t>2 saam met Elec</t>
  </si>
  <si>
    <t xml:space="preserve">3 Voormanne </t>
  </si>
  <si>
    <t>Boek Public Works</t>
  </si>
  <si>
    <t>Maintenance - Meters</t>
  </si>
  <si>
    <t xml:space="preserve">Maintenance- Equipment;       </t>
  </si>
  <si>
    <t xml:space="preserve">Maintenance  Vehicles;       </t>
  </si>
  <si>
    <t>Chemicals</t>
  </si>
  <si>
    <t>Indigent Subsidy</t>
  </si>
  <si>
    <t>Contracted Fees UDS Toilets</t>
  </si>
  <si>
    <t>Maintenance- Televisions</t>
  </si>
  <si>
    <t>Old Graves Williston</t>
  </si>
  <si>
    <t>Expanded public Works Programme</t>
  </si>
  <si>
    <t xml:space="preserve">Fuel;     EPWP                  </t>
  </si>
  <si>
    <t xml:space="preserve">Traffic Signs;   EPWP           </t>
  </si>
  <si>
    <t xml:space="preserve">Maintenance- Equipment;   EPWP  </t>
  </si>
  <si>
    <t>Maintenance- Vehicles; Rental EPWP</t>
  </si>
  <si>
    <t xml:space="preserve">Maintenance- Material;     EPWP  </t>
  </si>
  <si>
    <t>Wages EPWP Toesig</t>
  </si>
  <si>
    <t>Library Fund</t>
  </si>
  <si>
    <t>Chemicals ( Swimming Pool)</t>
  </si>
  <si>
    <t>Security</t>
  </si>
  <si>
    <t>Water and Food Analysis: NDM function</t>
  </si>
  <si>
    <t>Community Participation</t>
  </si>
  <si>
    <t>Kyk vir meerf fondse</t>
  </si>
  <si>
    <t>Sutherland Aircons</t>
  </si>
  <si>
    <t>Allistair</t>
  </si>
  <si>
    <t>Electricity Call out Fees;</t>
  </si>
  <si>
    <t>Electricity Tampering Penalties</t>
  </si>
  <si>
    <t>Water Call out Fees</t>
  </si>
  <si>
    <t>Water Tampering Penalties</t>
  </si>
  <si>
    <t>Sanitation Call out Fees</t>
  </si>
  <si>
    <t>Electricity Reconnection Fee</t>
  </si>
  <si>
    <t xml:space="preserve">Library Grant;            </t>
  </si>
  <si>
    <t>Tourism</t>
  </si>
  <si>
    <t>0230/0713/0000</t>
  </si>
  <si>
    <t>TOTAL INCOME</t>
  </si>
  <si>
    <t>(Surplus)/ Deficit</t>
  </si>
  <si>
    <t>See total sheet</t>
  </si>
  <si>
    <t>TOTAL EXPENDITURE</t>
  </si>
  <si>
    <t>COUNCIL GENERAL INCOME</t>
  </si>
  <si>
    <t>FINANCE INCOME</t>
  </si>
  <si>
    <t>FINANCE EXPENDITURE</t>
  </si>
  <si>
    <t>RATES INCOME</t>
  </si>
  <si>
    <t>RATES EXPENDITURE</t>
  </si>
  <si>
    <t>M MANAGER INCOME</t>
  </si>
  <si>
    <t>M MANAGER EXPENDITURE</t>
  </si>
  <si>
    <t>LIBRARIES INCOME</t>
  </si>
  <si>
    <t>LIBRARIES EXPENDITURE</t>
  </si>
  <si>
    <t>TOWN HALL &amp; BUILDINGS INCOME</t>
  </si>
  <si>
    <t>TOWN HALL &amp; BUILDINGS EXPENDITURE</t>
  </si>
  <si>
    <t>CEMETERIES INCOME</t>
  </si>
  <si>
    <t>CEMETERIES EXPENDITURE</t>
  </si>
  <si>
    <t>PARKS &amp; RECREATION INCOME</t>
  </si>
  <si>
    <t>PARKS &amp; RECREATION EXPENDITURE</t>
  </si>
  <si>
    <t>ECONOMIC DEVELOPMENT INCOME</t>
  </si>
  <si>
    <t>ECONOMIC DEVELOPMENT EXPENDITURE</t>
  </si>
  <si>
    <t>STREETS &amp; PUBLIC WORKS INCOME</t>
  </si>
  <si>
    <t>STREETS &amp; PUBLIC WORKS EXPENDITURE</t>
  </si>
  <si>
    <t>ELECTRICITY INCOME</t>
  </si>
  <si>
    <t>ELECTRICITY EXPENDITURE</t>
  </si>
  <si>
    <t>WATER INCOME</t>
  </si>
  <si>
    <t>WATER EXPENDITURE</t>
  </si>
  <si>
    <t>SANITATION INCOME</t>
  </si>
  <si>
    <t>SANITATION EXPENDITURE</t>
  </si>
  <si>
    <t>REFUSE INCOME</t>
  </si>
  <si>
    <t>REFUSE EXPENDITURE</t>
  </si>
  <si>
    <t>CLASSIFICATION</t>
  </si>
  <si>
    <t>Fines</t>
  </si>
  <si>
    <t>Licences and permits</t>
  </si>
  <si>
    <t>Other revenue</t>
  </si>
  <si>
    <t>Transfers recognised - operational</t>
  </si>
  <si>
    <t>Service charges - other</t>
  </si>
  <si>
    <t>Gains on disposal of PPE</t>
  </si>
  <si>
    <t>Interest earned - external investments</t>
  </si>
  <si>
    <t>Interest earned - outstanding debtors</t>
  </si>
  <si>
    <t>Agency services</t>
  </si>
  <si>
    <t>Transfers recognised - capital</t>
  </si>
  <si>
    <t>Property rates</t>
  </si>
  <si>
    <t>Rental of facilities and equipment</t>
  </si>
  <si>
    <t>Service charges - electricity revenue</t>
  </si>
  <si>
    <t>Service charges - water revenue</t>
  </si>
  <si>
    <t>Service charges - sanitation revenue</t>
  </si>
  <si>
    <t>Service charges - refuse revenue</t>
  </si>
  <si>
    <t>Employee related cost</t>
  </si>
  <si>
    <t>Other expenditure</t>
  </si>
  <si>
    <t>Contracted services</t>
  </si>
  <si>
    <t>Contributed assets</t>
  </si>
  <si>
    <t>Finance charges</t>
  </si>
  <si>
    <t>Depreciation and asset impairment</t>
  </si>
  <si>
    <t>Debt impairment</t>
  </si>
  <si>
    <t>Grants and subsidies</t>
  </si>
  <si>
    <t>Bulk purchases</t>
  </si>
  <si>
    <t>Remuneration of councillors</t>
  </si>
  <si>
    <t xml:space="preserve">Loss on disposal of PPE   </t>
  </si>
  <si>
    <t>Contributions recognised - capital</t>
  </si>
  <si>
    <t xml:space="preserve">Contract Rentals Cell Companies   </t>
  </si>
  <si>
    <t>Finance Lease Copier Usage</t>
  </si>
  <si>
    <t xml:space="preserve">Salga Fees;     </t>
  </si>
  <si>
    <t>Audit Committee fees</t>
  </si>
  <si>
    <t>Consultant fees</t>
  </si>
  <si>
    <t>Salary deduction commission</t>
  </si>
  <si>
    <t xml:space="preserve">Telephone Allowance               </t>
  </si>
  <si>
    <t>Training;</t>
  </si>
  <si>
    <t xml:space="preserve">Finance Lease Interest Expen </t>
  </si>
  <si>
    <t>Salary Library Assistants</t>
  </si>
  <si>
    <t>Membership Fees</t>
  </si>
  <si>
    <t xml:space="preserve">Losses Measured;   Water         </t>
  </si>
  <si>
    <t xml:space="preserve">Losses Measured;  Electricity       </t>
  </si>
  <si>
    <t>Back Pay Councillors;</t>
  </si>
  <si>
    <t>Property rates Income Forgone</t>
  </si>
  <si>
    <t>Sutherland Stormwater projek</t>
  </si>
  <si>
    <t>KAROO HOOGLAND LOCAL MUNICIPALITY</t>
  </si>
  <si>
    <t>DRAFT OPERATING AND CAPITAL BUDGET</t>
  </si>
  <si>
    <t>Total Capital Income</t>
  </si>
  <si>
    <t>Total Capital Expenditure</t>
  </si>
  <si>
    <t>2016/2017 -2018/2019</t>
  </si>
  <si>
    <t>BUDGET 2018/2019</t>
  </si>
  <si>
    <t>ACTUALS 2015/2016</t>
  </si>
  <si>
    <t>PROJECTED 2015/2016</t>
  </si>
  <si>
    <t>Tabled to Council on 29 March 2016</t>
  </si>
  <si>
    <t>Training; (FMG)</t>
  </si>
  <si>
    <t>Consultant fees AFS and Assets and SCOA(FMG)</t>
  </si>
  <si>
    <t xml:space="preserve">Salary; (Interns R 432000 FMG)                    </t>
  </si>
  <si>
    <t xml:space="preserve">Computer Lisence;    </t>
  </si>
  <si>
    <t>RBIG</t>
  </si>
  <si>
    <t>INEP</t>
  </si>
  <si>
    <t>ADJUSTED BUDGET</t>
  </si>
  <si>
    <t>FULL YEAR FORECAST</t>
  </si>
  <si>
    <t>Sutherland Bulk Water Network</t>
  </si>
  <si>
    <t>Sport Facilities Sutherland</t>
  </si>
  <si>
    <t>Sutherland Water Reticulation Network</t>
  </si>
  <si>
    <t>Bulk Water Supply Williston</t>
  </si>
  <si>
    <t xml:space="preserve">Maintenance - Computer;  SCOA  </t>
  </si>
  <si>
    <t>Valuation Certificates</t>
  </si>
  <si>
    <t>Fleet Management</t>
  </si>
  <si>
    <t>Motivation on proposed tariff increases</t>
  </si>
  <si>
    <t>1. Inflation is estimated at 6.6% for 2016/2017 - See page 4 of Circular 79</t>
  </si>
  <si>
    <t>2. Due to the estimated inflation of 6.6 % it would be fair to adjust tariffs upwards by the same %</t>
  </si>
  <si>
    <t xml:space="preserve">4. The MSIG was equal to R 930 000.00 per annum </t>
  </si>
  <si>
    <t>3. MSIG funds were re-allocated - See page 5 Circular 79</t>
  </si>
  <si>
    <t>5. The allocation of the Euitable Share only increased by 5.4% Therefore 1.2 % under the inflation estimate</t>
  </si>
  <si>
    <t>7. The implementation of mSCOA will cost R 3.5 Mil of which R1 .5 Mil is made available in 2016/2017 F/Y</t>
  </si>
  <si>
    <t>8. The rest of the mSCOA costs will be budgeted for in 2017/2018</t>
  </si>
  <si>
    <t>Financial result of the abovementioned</t>
  </si>
  <si>
    <t>MSIG</t>
  </si>
  <si>
    <t>E/Share</t>
  </si>
  <si>
    <t>Previous Year allocation</t>
  </si>
  <si>
    <t>Type</t>
  </si>
  <si>
    <t>Shortage on Grant Allocations</t>
  </si>
  <si>
    <t>Shortage as % of total income budget</t>
  </si>
  <si>
    <t>Due to the impact of  a 8.7 % increase on the consumers especially the poor the Municipality will only increase tariffs with 7.6% ( 6.6% + 1%)</t>
  </si>
  <si>
    <t>The Municipality will therefore absorb the additional 1.1% by means of operating cost cuts</t>
  </si>
  <si>
    <t>Therefore to be in the same financial position as the previous year tariffs should increase by 6.6 % + 2.1% = 8.7%</t>
  </si>
  <si>
    <t>If tariffs are not increased by 7.6% there is a risk that the Municipality will not be able to finance its operational expenditure budget.</t>
  </si>
  <si>
    <t>6. No funds were made available for the implementation of mSCOA by  the Government</t>
  </si>
  <si>
    <t>Repair and Maintenance</t>
  </si>
  <si>
    <t>Budget Income 2016/2017</t>
  </si>
  <si>
    <t>Municipal Manager</t>
  </si>
  <si>
    <t>Budget Expenditure 2016/2017</t>
  </si>
  <si>
    <t>(Surplus)/Deficit 2016/2017</t>
  </si>
  <si>
    <t>Budget Income 2015 /2016</t>
  </si>
  <si>
    <t>Adjusted Income Budget 2015/2016</t>
  </si>
  <si>
    <t>Projected Income 2015/2016</t>
  </si>
  <si>
    <t>Adjusted Expenditure Budget 2015/2016</t>
  </si>
  <si>
    <t>Projected Expenditure 2015/2016</t>
  </si>
  <si>
    <t>DESCRIPTION LEDGER VOTE 0020</t>
  </si>
  <si>
    <t>DESCRIPTION LEDGER VOTE 0002</t>
  </si>
  <si>
    <t>DESCRIPTION LEDGER VOTE 0070</t>
  </si>
  <si>
    <t>DESCRIPTION LEDGER VOTE 0100</t>
  </si>
  <si>
    <t>DESCRIPTION LEDGER VOTE 0110</t>
  </si>
  <si>
    <t>DESCRIPTION LEDGER VOTE 0111</t>
  </si>
  <si>
    <t>DESCRIPTION LEDGER VOTE 0115</t>
  </si>
  <si>
    <t>DESCRIPTION LEDGER VOTE 0140</t>
  </si>
  <si>
    <t>DESCRIPTION LEDGER VOTE 0230</t>
  </si>
  <si>
    <t>DESCRIPTION LEDGER VOTE 0301</t>
  </si>
  <si>
    <t>DESCRIPTION LEDGER VOTE 0340</t>
  </si>
  <si>
    <t>DESCRIPTION LEDGER VOTE 0360</t>
  </si>
  <si>
    <t>DESCRIPTION LEDGER VOTE 0361</t>
  </si>
  <si>
    <t>COUNCIL GENERAL EXPENDITURE</t>
  </si>
  <si>
    <t>BUDGET 2019/2020</t>
  </si>
  <si>
    <t>Audit: Internal</t>
  </si>
  <si>
    <t>Audit: External</t>
  </si>
  <si>
    <t xml:space="preserve">Audit: Committee </t>
  </si>
  <si>
    <t>Advertisements: Papers</t>
  </si>
  <si>
    <t xml:space="preserve">Advertisements: Gazette          </t>
  </si>
  <si>
    <t>Advertisements: Banners</t>
  </si>
  <si>
    <t>Map Sales: Museum</t>
  </si>
  <si>
    <t xml:space="preserve">Equitable Share     </t>
  </si>
  <si>
    <t>Expanded Public Work Programme</t>
  </si>
  <si>
    <t>Mun Systems Improvement Grant</t>
  </si>
  <si>
    <t>Integrated Nat Elec Programme (INEP)</t>
  </si>
  <si>
    <t>Municipal Infrastructure Grant</t>
  </si>
  <si>
    <t>Regional Bulk Infrastructure Grant</t>
  </si>
  <si>
    <t>Water Services Infrastructure Grant</t>
  </si>
  <si>
    <t>Energy Efficiency Demand Side Grant</t>
  </si>
  <si>
    <t xml:space="preserve">Building Plan Fees          </t>
  </si>
  <si>
    <t xml:space="preserve">Cash Surplus                </t>
  </si>
  <si>
    <t xml:space="preserve">Electricity: Prepaid Sales  </t>
  </si>
  <si>
    <t xml:space="preserve">Gains on disposal of PPE    </t>
  </si>
  <si>
    <t xml:space="preserve">Interest on Late Accounts   </t>
  </si>
  <si>
    <t xml:space="preserve">Interest Received           </t>
  </si>
  <si>
    <t xml:space="preserve">Library Lost Books          </t>
  </si>
  <si>
    <t xml:space="preserve">Natis Commission Receive    </t>
  </si>
  <si>
    <t xml:space="preserve">Sale of Property            </t>
  </si>
  <si>
    <t xml:space="preserve">Sundry Income               </t>
  </si>
  <si>
    <t xml:space="preserve">Swimming Pool Fees          </t>
  </si>
  <si>
    <t xml:space="preserve">Bank Charges                </t>
  </si>
  <si>
    <t xml:space="preserve">Cleansing Materials         </t>
  </si>
  <si>
    <t xml:space="preserve">Collections Costs           </t>
  </si>
  <si>
    <t xml:space="preserve">Consumables                 </t>
  </si>
  <si>
    <t xml:space="preserve">Courier Services            </t>
  </si>
  <si>
    <t xml:space="preserve">Depreciation                </t>
  </si>
  <si>
    <t xml:space="preserve">Impairment of Assets        </t>
  </si>
  <si>
    <t xml:space="preserve">Insurance                   </t>
  </si>
  <si>
    <t xml:space="preserve">Leave Fund                  </t>
  </si>
  <si>
    <t xml:space="preserve">Legal Fees                  </t>
  </si>
  <si>
    <t xml:space="preserve">LG SETA Skills development  </t>
  </si>
  <si>
    <t xml:space="preserve">Long Service Award Expense  </t>
  </si>
  <si>
    <t xml:space="preserve">Loss on Disposal of PPE     </t>
  </si>
  <si>
    <t xml:space="preserve">Mayors Projects             </t>
  </si>
  <si>
    <t xml:space="preserve">Municipal Services (Acc)    </t>
  </si>
  <si>
    <t xml:space="preserve">Newspapers                  </t>
  </si>
  <si>
    <t xml:space="preserve">Postage Money Paid          </t>
  </si>
  <si>
    <t xml:space="preserve">Postal Bag Rent             </t>
  </si>
  <si>
    <t xml:space="preserve">Salga Fees      </t>
  </si>
  <si>
    <t xml:space="preserve">Skills Development          </t>
  </si>
  <si>
    <t xml:space="preserve">Stationary                  </t>
  </si>
  <si>
    <t xml:space="preserve">Water Research Levy         </t>
  </si>
  <si>
    <t>Site Rental: Vodacom</t>
  </si>
  <si>
    <t>Site Renta:l MTN</t>
  </si>
  <si>
    <t>Site Rental: Infraco</t>
  </si>
  <si>
    <t>Site Rental: Sutherland Airfield</t>
  </si>
  <si>
    <t>Site Rental: Williston Vleis Koöperasie</t>
  </si>
  <si>
    <t>PROPERTIES INCOME</t>
  </si>
  <si>
    <t>PROPERTIES EXPENDITURE</t>
  </si>
  <si>
    <t>Rental: Buildings</t>
  </si>
  <si>
    <t>Consultant fees: Actuarial Valuations</t>
  </si>
  <si>
    <t>Consultant fees: AFS Support</t>
  </si>
  <si>
    <t>Consultant fees: Asset Register</t>
  </si>
  <si>
    <t xml:space="preserve">Consultant fees: mSCOA </t>
  </si>
  <si>
    <t>Donations: Williston Winter festival</t>
  </si>
  <si>
    <t>Donations: Fraserburg Kambro Project</t>
  </si>
  <si>
    <t>Donations: Sutherland Museum</t>
  </si>
  <si>
    <t>Donations: Organised Agriculture</t>
  </si>
  <si>
    <t>Donations: Schools</t>
  </si>
  <si>
    <t>Donations: Williston Show</t>
  </si>
  <si>
    <t>Consultant fees: Webpage hosting</t>
  </si>
  <si>
    <t xml:space="preserve">Computer Lisence Other Software     </t>
  </si>
  <si>
    <t xml:space="preserve">Computer Lisence  EMS Sebata   </t>
  </si>
  <si>
    <t>Capital Expenditure</t>
  </si>
  <si>
    <t xml:space="preserve">Library Grant: Income            </t>
  </si>
  <si>
    <t xml:space="preserve">Library Fines: Income              </t>
  </si>
  <si>
    <t xml:space="preserve">Fuel                    </t>
  </si>
  <si>
    <t xml:space="preserve">Fuel and Lubricants                       </t>
  </si>
  <si>
    <t xml:space="preserve">Uniforms (Overalls)                     </t>
  </si>
  <si>
    <t>Communage Rent: Town Areas</t>
  </si>
  <si>
    <t>Communage Rent: Agricultural Areas</t>
  </si>
  <si>
    <t xml:space="preserve">Electricity: New Installation    </t>
  </si>
  <si>
    <t>Electricity: Tampering Penalties</t>
  </si>
  <si>
    <t>Overpayment collection</t>
  </si>
  <si>
    <t>Sale of Grave plots</t>
  </si>
  <si>
    <t>Hiring of Halls</t>
  </si>
  <si>
    <t xml:space="preserve">Employee RC: Housing Subsidy             </t>
  </si>
  <si>
    <t xml:space="preserve">Employee RC: Bargaining Council levies         </t>
  </si>
  <si>
    <t xml:space="preserve">Employee RC: Bonusses                       </t>
  </si>
  <si>
    <t xml:space="preserve">Employee RC: Cell Phone Allowance        </t>
  </si>
  <si>
    <t xml:space="preserve">Employee RC: Overtime                    </t>
  </si>
  <si>
    <t xml:space="preserve">Employee RC: Pensionfund                 </t>
  </si>
  <si>
    <t>Employee RC: Salaries</t>
  </si>
  <si>
    <t xml:space="preserve">Employee RC: Standby                     </t>
  </si>
  <si>
    <t xml:space="preserve">Employee RC: Telephone Allowance               </t>
  </si>
  <si>
    <t xml:space="preserve">Employee RC: Travelling Allowance        </t>
  </si>
  <si>
    <t xml:space="preserve">Employee RC: UIF                         </t>
  </si>
  <si>
    <t>Sebata: EMS Licence Fees</t>
  </si>
  <si>
    <t>Sebata: Connect MPLS</t>
  </si>
  <si>
    <t>Sebata: Connect Attix 5</t>
  </si>
  <si>
    <t>Sebata: Cloud</t>
  </si>
  <si>
    <t>Sebata: PBX</t>
  </si>
  <si>
    <t>Licences: Vehicles</t>
  </si>
  <si>
    <t>Sebata: Offsite Backup</t>
  </si>
  <si>
    <t>Security: Alarms and Cameras</t>
  </si>
  <si>
    <t>Contracted Fees: UDS Toilets</t>
  </si>
  <si>
    <t>Employee RC: Travelling Cost</t>
  </si>
  <si>
    <t>Employee RC: Subsistence</t>
  </si>
  <si>
    <t>Employee RC: Accomodation Costs</t>
  </si>
  <si>
    <t>Mayoral Projects: Back to School</t>
  </si>
  <si>
    <t>Mayoral Projects: SoNA of Provinces</t>
  </si>
  <si>
    <t>Mayoral Projects: Human Rights Month</t>
  </si>
  <si>
    <t>Mayoral Projects: Freedom Month</t>
  </si>
  <si>
    <t>Mayoral Projects: Workers Month</t>
  </si>
  <si>
    <t>Mayoral Projects: Youth Month</t>
  </si>
  <si>
    <t>Mayoral Projects: Mandela Day</t>
  </si>
  <si>
    <t>Mayoral Projects: Womens Month</t>
  </si>
  <si>
    <t>Mayoral Projects: Tourism Month</t>
  </si>
  <si>
    <t>Mayoral Projects: Social Development</t>
  </si>
  <si>
    <t>Mayoral Projects: 16 Days of Activism</t>
  </si>
  <si>
    <t>Mayoral Projects: HIV Month</t>
  </si>
  <si>
    <t>Salary Deduction Commission</t>
  </si>
  <si>
    <t xml:space="preserve">Refuse: Less Income Forgone </t>
  </si>
  <si>
    <t>Revenue: LGSETA</t>
  </si>
  <si>
    <t xml:space="preserve">Rates: Clearance Certificate </t>
  </si>
  <si>
    <t xml:space="preserve">Rates: Levies                       </t>
  </si>
  <si>
    <t>Water: Call Out Fees</t>
  </si>
  <si>
    <t>Water: Tampering Penalties</t>
  </si>
  <si>
    <t xml:space="preserve">Water: Installation Fees          </t>
  </si>
  <si>
    <t>Water : Reconnection Fees</t>
  </si>
  <si>
    <t xml:space="preserve">Traffic Fines                </t>
  </si>
  <si>
    <t>Sanitation: Call Out Fees</t>
  </si>
  <si>
    <t>Rates: Rebates Indigent</t>
  </si>
  <si>
    <t>Rates: Rebates 2.5% Before 30 Sept</t>
  </si>
  <si>
    <t>Rates: Less Income Forgone</t>
  </si>
  <si>
    <t xml:space="preserve">Electricity: Service Charges         </t>
  </si>
  <si>
    <t xml:space="preserve">Refuse: Service Charges     </t>
  </si>
  <si>
    <t xml:space="preserve">Sanitation: Service Charges   </t>
  </si>
  <si>
    <t xml:space="preserve">Water: Service Charges                 </t>
  </si>
  <si>
    <t xml:space="preserve">Indigent Subsidies: Refuse </t>
  </si>
  <si>
    <t>Indigent Subsidies: Sanitation</t>
  </si>
  <si>
    <t>Indigent Subsidies: Water</t>
  </si>
  <si>
    <t>Indigent Subsidies: Electricity</t>
  </si>
  <si>
    <t>Indigent Subsidies: Rates</t>
  </si>
  <si>
    <t>Transfers and Subsidies</t>
  </si>
  <si>
    <t>Commission: Pre Paid Sales Electricity</t>
  </si>
  <si>
    <t>Commission: Pre Paid Sales Water</t>
  </si>
  <si>
    <t>Electricity: Losses Measured</t>
  </si>
  <si>
    <t>Water: Losses Measured</t>
  </si>
  <si>
    <t>Interest Levied: Sanitation</t>
  </si>
  <si>
    <t>Interest Levied: Water</t>
  </si>
  <si>
    <t>Interest Levied: Electricity</t>
  </si>
  <si>
    <t>Interest Levied: Refuse</t>
  </si>
  <si>
    <t>Interest Levied: Other</t>
  </si>
  <si>
    <t>Interest Levied: Rates</t>
  </si>
  <si>
    <t>Tender Fees</t>
  </si>
  <si>
    <t>Web Site Advertisements Fees</t>
  </si>
  <si>
    <t>Museum Fees</t>
  </si>
  <si>
    <t xml:space="preserve">Post Emp Medical -Invoiced  </t>
  </si>
  <si>
    <t xml:space="preserve">Telephone &amp; Fax Fees          </t>
  </si>
  <si>
    <t xml:space="preserve">Fotostats  Fees                 </t>
  </si>
  <si>
    <t>Rates: Valuation Certificates</t>
  </si>
  <si>
    <t xml:space="preserve">Land Use Planning  Fees        </t>
  </si>
  <si>
    <t>Deposits: Hiring of Halls</t>
  </si>
  <si>
    <t>Deposits: Hiring of Halls Refund</t>
  </si>
  <si>
    <t>Caravan Park Fees</t>
  </si>
  <si>
    <t>Electricity: Reconnection Fees</t>
  </si>
  <si>
    <t>Electricity: Call Out Fees</t>
  </si>
  <si>
    <t xml:space="preserve">Library Hall  Rentals              </t>
  </si>
  <si>
    <t xml:space="preserve">Deeds Search Fees                     </t>
  </si>
  <si>
    <t xml:space="preserve">Employee RC: Medical Aid                 </t>
  </si>
  <si>
    <t xml:space="preserve">Municipal Systems  Improvement Grant </t>
  </si>
  <si>
    <t xml:space="preserve">Entertainment/Refreshments Costs         </t>
  </si>
  <si>
    <t xml:space="preserve">Lost Books  Replacements                </t>
  </si>
  <si>
    <t xml:space="preserve">Traffic Signs           </t>
  </si>
  <si>
    <t xml:space="preserve">Training  </t>
  </si>
  <si>
    <t xml:space="preserve">Valuation Roll Expenses                </t>
  </si>
  <si>
    <t>Wages EPWP Supervisors</t>
  </si>
  <si>
    <t xml:space="preserve">Bulk Purchases: Electricity      </t>
  </si>
  <si>
    <t>EPWP Expenses: Wages</t>
  </si>
  <si>
    <t>EPWP Expenses: Equipment</t>
  </si>
  <si>
    <t>EPWP Expenses: Administration fees</t>
  </si>
  <si>
    <t>EPWP Expenses: Rental of vehicles</t>
  </si>
  <si>
    <t>EPWP Expenses: Uniforms</t>
  </si>
  <si>
    <t>EPWP Expenses: Materials</t>
  </si>
  <si>
    <t>EPWP Expenses: Fuel</t>
  </si>
  <si>
    <t xml:space="preserve">Disciplinary Hearings Expenses      </t>
  </si>
  <si>
    <t>Financial Management Grant</t>
  </si>
  <si>
    <t xml:space="preserve">Garden Refuse Removal Income             </t>
  </si>
  <si>
    <t>Accomodation: Workshops,Council etc</t>
  </si>
  <si>
    <t>Debt Impairment: Rates</t>
  </si>
  <si>
    <t>Debt Impairment: Electricity</t>
  </si>
  <si>
    <t>Debt Impairment: Water</t>
  </si>
  <si>
    <t>Debt Impairment: Sanitation</t>
  </si>
  <si>
    <t>Debt Impairment: Refuse</t>
  </si>
  <si>
    <t>Debt Impairment: Other</t>
  </si>
  <si>
    <t xml:space="preserve">Councillors: Cellphone Allowances            </t>
  </si>
  <si>
    <t xml:space="preserve">Councillors: Travel Allowances       </t>
  </si>
  <si>
    <t xml:space="preserve">Councillors: Allowances        </t>
  </si>
  <si>
    <t xml:space="preserve">Councillors: Datacard Allowances        </t>
  </si>
  <si>
    <t>Electricity Purchases Small Usage</t>
  </si>
  <si>
    <t xml:space="preserve">Municipal Services (Acc): Corporate   </t>
  </si>
  <si>
    <t xml:space="preserve">Municipal Services (Acc): Libraries    </t>
  </si>
  <si>
    <t xml:space="preserve">Municipal Services (Acc): Townhall &amp; Offices    </t>
  </si>
  <si>
    <t xml:space="preserve">Municipal Services (Acc): Parks    </t>
  </si>
  <si>
    <t xml:space="preserve">Municipal Services (Acc): Electricity    </t>
  </si>
  <si>
    <t xml:space="preserve">Municipal Services (Acc): Water    </t>
  </si>
  <si>
    <t xml:space="preserve">Municipal Services (Acc): Sanitation    </t>
  </si>
  <si>
    <t>Municipal Services (Acc): Refuse</t>
  </si>
  <si>
    <t>WSIG</t>
  </si>
  <si>
    <t>MIG</t>
  </si>
  <si>
    <t>Maintenance: Meters</t>
  </si>
  <si>
    <t xml:space="preserve">Maintenance: Equipment        </t>
  </si>
  <si>
    <t xml:space="preserve">Maintenance: Materials     </t>
  </si>
  <si>
    <t>Maintenance: Photocopiers</t>
  </si>
  <si>
    <t>Maintenance: Streetlights</t>
  </si>
  <si>
    <t xml:space="preserve">Maintenance: Vehicles  </t>
  </si>
  <si>
    <t>Maintenance: Distribution Networks</t>
  </si>
  <si>
    <t>Contracted Fees: Electricity Services</t>
  </si>
  <si>
    <t>Maintenance: Road Signs</t>
  </si>
  <si>
    <t>Maintenance: Road Painting</t>
  </si>
  <si>
    <t xml:space="preserve">Maintenance: Electrical Equipment     </t>
  </si>
  <si>
    <t xml:space="preserve">Maintenance: Properties       </t>
  </si>
  <si>
    <t>Contributed: PPE</t>
  </si>
  <si>
    <t>Maintenance: Computer Hardware</t>
  </si>
  <si>
    <t xml:space="preserve">Employee RC: Post Emp Medical Expenses   </t>
  </si>
  <si>
    <t>Employee RC: Salaries Library Assistants</t>
  </si>
  <si>
    <t xml:space="preserve">Refuse Bags Purchases       </t>
  </si>
  <si>
    <t xml:space="preserve">Telephone Expenses                   </t>
  </si>
  <si>
    <t>Library: Programmes</t>
  </si>
  <si>
    <t>Library: Television Expenses</t>
  </si>
  <si>
    <t xml:space="preserve">Library: Rental of Equipment </t>
  </si>
  <si>
    <t>Motor Vehicle Registration Fees</t>
  </si>
  <si>
    <t xml:space="preserve">Land Use Survey (Plan)               </t>
  </si>
  <si>
    <t>Spatial Development (SDF)</t>
  </si>
  <si>
    <t xml:space="preserve">Contributed: PPE Aircons </t>
  </si>
  <si>
    <t>Contributed: PPE Laptops</t>
  </si>
  <si>
    <t>Contributed: PPE Office Furniture</t>
  </si>
  <si>
    <t xml:space="preserve">Contributed: PPE Dictaphones </t>
  </si>
  <si>
    <t>Contributed: PPE Cameras</t>
  </si>
  <si>
    <t xml:space="preserve">Ward Committee Expenses   </t>
  </si>
  <si>
    <t>Stormwater Rebelskop Sutherland</t>
  </si>
  <si>
    <t>Streets paving: Sutherland</t>
  </si>
  <si>
    <t>Maintenance: Radios</t>
  </si>
  <si>
    <t>KPA</t>
  </si>
  <si>
    <t xml:space="preserve">Leave Gratification Expense  </t>
  </si>
  <si>
    <t xml:space="preserve">Finance Lease External - Interest         </t>
  </si>
  <si>
    <t xml:space="preserve">Finance Lease External - Capital       </t>
  </si>
  <si>
    <t>Finance Lease External - Interest</t>
  </si>
  <si>
    <t>Finance Charges</t>
  </si>
  <si>
    <t>External Loan: Interest DBSA</t>
  </si>
  <si>
    <t>External Loan: Capital DBSA</t>
  </si>
  <si>
    <t>External Loan: Interest STBank</t>
  </si>
  <si>
    <t>External Loan: Capital  STBank</t>
  </si>
  <si>
    <t>GRAP CLASSIFICATION</t>
  </si>
  <si>
    <t xml:space="preserve">Rates: Rebates Government            </t>
  </si>
  <si>
    <t>Rates: Rebates Farms</t>
  </si>
  <si>
    <t>SARS Revenue on VAT</t>
  </si>
  <si>
    <t>IDP PROGRAMME</t>
  </si>
  <si>
    <t>IDP OBJECTIVE</t>
  </si>
  <si>
    <t>To actively involve the public in local government management</t>
  </si>
  <si>
    <t>To ensure that monies are collected</t>
  </si>
  <si>
    <t>To implement sound financial management</t>
  </si>
  <si>
    <t>To effectively manage financial grants</t>
  </si>
  <si>
    <t>To effectively monitor outstanding debtors by collecting interest on late accounts</t>
  </si>
  <si>
    <t>To control and maintain agency services like transaction fees and permits</t>
  </si>
  <si>
    <t>Effectively manage performance of the municipality via audit committees and internal audit</t>
  </si>
  <si>
    <t>External Auditing</t>
  </si>
  <si>
    <t>Remuneration of municipal employees</t>
  </si>
  <si>
    <t>Improved efficiency and effectiveness of the municipal administration</t>
  </si>
  <si>
    <t>To outsource services and activities of non-core functions to assist the municipality to deliver core functions to deliver on outstanding services</t>
  </si>
  <si>
    <t>To contract facilities to ensure business continuity with minimum risk and maintenance cost</t>
  </si>
  <si>
    <t>To plan and budget for municipal staff training and development</t>
  </si>
  <si>
    <t>Effectively manage facilities and equipment owned by the municipality</t>
  </si>
  <si>
    <t>Community participation</t>
  </si>
  <si>
    <t>Remuneration of municipal employee</t>
  </si>
  <si>
    <t>To effectively monitor and manage property</t>
  </si>
  <si>
    <t>Implementation of the Skills Development Plan</t>
  </si>
  <si>
    <t>To manage sales of Goods and Rendering of service</t>
  </si>
  <si>
    <t>Compliance to Legislation</t>
  </si>
  <si>
    <t>To prevent misuse of municipal equipment and property</t>
  </si>
  <si>
    <t>Effectively manage facillities and equipment owned by the municipality</t>
  </si>
  <si>
    <t>To attract develop and retain ethical and best human capital</t>
  </si>
  <si>
    <t>To effectively account for library development via fines, books and grants</t>
  </si>
  <si>
    <t>Facilitate Promotion of education upliftment within communities</t>
  </si>
  <si>
    <t>To create a culture of accountability and transparency</t>
  </si>
  <si>
    <t>Increase Regulations of built environment</t>
  </si>
  <si>
    <t>To manage and control commonages transparity</t>
  </si>
  <si>
    <t>To provide a Systematic Integrated Spatial Land Development Policy</t>
  </si>
  <si>
    <t>To account for use of community facilities museums, swimming pool</t>
  </si>
  <si>
    <t>To ensure proper operation and maintenance of existing infrastructure and equipment</t>
  </si>
  <si>
    <t>Development of public facilities such as parks, sport and recreational infrastructure</t>
  </si>
  <si>
    <t>Optimize availability of municipal vehicles</t>
  </si>
  <si>
    <t>To enhance sustainable service delivery through infrastructure development</t>
  </si>
  <si>
    <t>Improve road infrastructure</t>
  </si>
  <si>
    <t>To Facilitate Economic Growth and Job Creation</t>
  </si>
  <si>
    <t>To collect and manage fines and penalties</t>
  </si>
  <si>
    <t>Provision of electricity for all residents</t>
  </si>
  <si>
    <t>To provide free basic services to registered indigents</t>
  </si>
  <si>
    <t>To effectively report on electricity losses</t>
  </si>
  <si>
    <t>To ensure a healthy environment for all residents with reference to combinable diseases</t>
  </si>
  <si>
    <t>To effectively report on water losses</t>
  </si>
  <si>
    <t>Provision of water for all residents</t>
  </si>
  <si>
    <t>Provision of standard sanitation for all residents</t>
  </si>
  <si>
    <t xml:space="preserve">MIG Expenses: Paving Williston    </t>
  </si>
  <si>
    <t xml:space="preserve">MIG Expenses: Paving Sutherland   </t>
  </si>
  <si>
    <t xml:space="preserve">MIG Expenses: Paving Fraserburg </t>
  </si>
  <si>
    <t>MIG Expenses: Stormwater Rebelskop</t>
  </si>
  <si>
    <t>MIG Expenses: Bulk Water Sutherland</t>
  </si>
  <si>
    <t>MIG Expenses: Sport Facilities Sutherland</t>
  </si>
  <si>
    <t>MIG Expenses: Water Network Sutherland</t>
  </si>
  <si>
    <t>Energy Efficiency Grant: Streetlighting Fraserburg</t>
  </si>
  <si>
    <t>Energy Efficiency Grant: Streetlighting Williston</t>
  </si>
  <si>
    <t>INEP: Houses Fraserburg</t>
  </si>
  <si>
    <t>INEP: Electricity Network Fraserburg</t>
  </si>
  <si>
    <t>Water SIG: Bulk Water Williston</t>
  </si>
  <si>
    <t>Regional BIG: Bulk Water Williston</t>
  </si>
  <si>
    <t>Revenue</t>
  </si>
  <si>
    <t xml:space="preserve">EE Grant </t>
  </si>
  <si>
    <t>INEP Grant</t>
  </si>
  <si>
    <t>EPWP Grant</t>
  </si>
  <si>
    <t>Library Grant</t>
  </si>
  <si>
    <t>FMG</t>
  </si>
  <si>
    <t>Equitable Share</t>
  </si>
  <si>
    <t>Service Charges Electricity</t>
  </si>
  <si>
    <t>Property Rates</t>
  </si>
  <si>
    <t>Service Charges Sanitation</t>
  </si>
  <si>
    <t>Service Charges Water</t>
  </si>
  <si>
    <t>Other Revenue</t>
  </si>
  <si>
    <t xml:space="preserve">Service Charges Refuse </t>
  </si>
  <si>
    <t>Rental of Facilities</t>
  </si>
  <si>
    <t>Interest earned - investments</t>
  </si>
  <si>
    <t>Service Charges Other</t>
  </si>
  <si>
    <t>FUNDING AMOUNT</t>
  </si>
  <si>
    <t>CODE</t>
  </si>
  <si>
    <t>FUNDING SOURCE</t>
  </si>
  <si>
    <t>NUMBER</t>
  </si>
  <si>
    <t>REVENUE/EXPENDITURE</t>
  </si>
  <si>
    <t>MSCOA PROJECT NAME</t>
  </si>
  <si>
    <t>_NC066_</t>
  </si>
  <si>
    <t>F/Y</t>
  </si>
  <si>
    <t>001</t>
  </si>
  <si>
    <t>002</t>
  </si>
  <si>
    <t>003</t>
  </si>
  <si>
    <t>004</t>
  </si>
  <si>
    <t>OPEX/CAPEX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</si>
  <si>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</si>
  <si>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</si>
  <si>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</si>
  <si>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</si>
  <si>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</si>
  <si>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</si>
  <si>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</si>
  <si>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</si>
  <si>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</si>
  <si>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Advertisements</t>
  </si>
  <si>
    <t>021</t>
  </si>
  <si>
    <t>026</t>
  </si>
  <si>
    <t>030</t>
  </si>
  <si>
    <t>Auditing</t>
  </si>
  <si>
    <t>Bank Charges</t>
  </si>
  <si>
    <t>Cleansing Materials</t>
  </si>
  <si>
    <t>Consultant Fees</t>
  </si>
  <si>
    <t>Contributed PPE</t>
  </si>
  <si>
    <t>Councillors Allowances</t>
  </si>
  <si>
    <t>Debt Impairment</t>
  </si>
  <si>
    <t>Employee Related Cost</t>
  </si>
  <si>
    <t>Donations</t>
  </si>
  <si>
    <t>Loans and Leases</t>
  </si>
  <si>
    <t>014</t>
  </si>
  <si>
    <t>Indigent Subsidies</t>
  </si>
  <si>
    <t>Legal Fees</t>
  </si>
  <si>
    <t>015</t>
  </si>
  <si>
    <t>016</t>
  </si>
  <si>
    <t>Maintenance</t>
  </si>
  <si>
    <t>Mayoral Projects</t>
  </si>
  <si>
    <t>017</t>
  </si>
  <si>
    <t>018</t>
  </si>
  <si>
    <t>Other Running Cost</t>
  </si>
  <si>
    <t>019</t>
  </si>
  <si>
    <t>Contracted Fees</t>
  </si>
  <si>
    <t>Depreciation</t>
  </si>
  <si>
    <t>Municipal Consumption</t>
  </si>
  <si>
    <t>Telephone Expenses</t>
  </si>
  <si>
    <t>Valuation Roll Expenses</t>
  </si>
  <si>
    <t>Library Expenses</t>
  </si>
  <si>
    <t>024</t>
  </si>
  <si>
    <t>Electricity  Purchases</t>
  </si>
  <si>
    <t>Uniforms</t>
  </si>
  <si>
    <t>EPWP</t>
  </si>
  <si>
    <t>027</t>
  </si>
  <si>
    <t>Postal Fees</t>
  </si>
  <si>
    <t>022</t>
  </si>
  <si>
    <t>023</t>
  </si>
  <si>
    <t>025</t>
  </si>
  <si>
    <t xml:space="preserve">Insurance </t>
  </si>
  <si>
    <t>Financial System Expenses</t>
  </si>
  <si>
    <t>Fuel</t>
  </si>
  <si>
    <t>031</t>
  </si>
  <si>
    <t>020</t>
  </si>
  <si>
    <t>028</t>
  </si>
  <si>
    <t>Land Survey</t>
  </si>
  <si>
    <t>Licenses Vehicles</t>
  </si>
  <si>
    <t>Loss on disposal of PPE</t>
  </si>
  <si>
    <t>029</t>
  </si>
  <si>
    <t>032</t>
  </si>
  <si>
    <t>033</t>
  </si>
  <si>
    <t>034</t>
  </si>
  <si>
    <t>035</t>
  </si>
  <si>
    <t>MSIG Expenses</t>
  </si>
  <si>
    <t>Rental of Facilities and Equipment</t>
  </si>
  <si>
    <t>Service Charges - Electricity Revenue</t>
  </si>
  <si>
    <t>Interest Earned - Outstanding Debtors</t>
  </si>
  <si>
    <t>Interest Earned - External Investments</t>
  </si>
  <si>
    <t>Gains on Disposal of PPE</t>
  </si>
  <si>
    <t>Agency Services</t>
  </si>
  <si>
    <t>Service Charges - Sanitation Revenue</t>
  </si>
  <si>
    <t>Service Charges - Refuse Revenue</t>
  </si>
  <si>
    <t>Service Charges - Other</t>
  </si>
  <si>
    <t>Service Charges - Water Revenue</t>
  </si>
  <si>
    <t>Transfers Recognised - Capital MIG</t>
  </si>
  <si>
    <t>Transfers Recognised - Capital RBIG</t>
  </si>
  <si>
    <t>Transfers Recognised - Capital EEDS</t>
  </si>
  <si>
    <t>Transfers Recognised - Capital INEP</t>
  </si>
  <si>
    <t>Transfers Recognised - Capital WSIG</t>
  </si>
  <si>
    <t>Transfers Recognised - Operational E/Share</t>
  </si>
  <si>
    <t>Transfers Recognised - Operational EPWP</t>
  </si>
  <si>
    <t>Transfers Recognised - Operational FMG</t>
  </si>
  <si>
    <t>Transfers Recognised - Operational Library Grant</t>
  </si>
  <si>
    <t>Transfers Recognised - Operational MSIG</t>
  </si>
  <si>
    <t>Regional Indicator</t>
  </si>
  <si>
    <t>Whole of the Municipality</t>
  </si>
  <si>
    <t>1,2</t>
  </si>
  <si>
    <t>1,2,4</t>
  </si>
  <si>
    <t>KPA 3: Municipal Financial Management &amp; Viability</t>
  </si>
  <si>
    <t>KPA 1: Basic Service Delivery and Infrastructure Development</t>
  </si>
  <si>
    <t>KPA 2: Local Economic Development</t>
  </si>
  <si>
    <t>KPA 4: Municipal Transformation &amp; Institutional Development</t>
  </si>
  <si>
    <t>KPA 5: Good Governance and Public Participation</t>
  </si>
  <si>
    <t>O_</t>
  </si>
  <si>
    <t>REV_</t>
  </si>
  <si>
    <t>2017/2018_</t>
  </si>
  <si>
    <t>C_</t>
  </si>
  <si>
    <t>EXP_</t>
  </si>
  <si>
    <t>Building Plan Fees</t>
  </si>
  <si>
    <t>Water &amp; Electricity: Tampering &amp; Reconnection Fees</t>
  </si>
  <si>
    <t>Water &amp; Electricity: Call Out &amp; Installation Fees</t>
  </si>
  <si>
    <t>Museum, Caravan Park and Swimming Pool Fees</t>
  </si>
  <si>
    <t>Communage Rent: Town &amp; Farms</t>
  </si>
  <si>
    <t>Motor Vehicle Registration, Natis Commission &amp; Permits</t>
  </si>
  <si>
    <t>Traffic Fines</t>
  </si>
  <si>
    <t>Rentals of Sites, Buildings and Hiring of Halls</t>
  </si>
  <si>
    <t>Interest Levied: Electricity, Rates, Refuse, Sanitation, Water, Other and Late Accounts</t>
  </si>
  <si>
    <t>Deposits: Hiring of Halls &amp; Fotostats Fees</t>
  </si>
  <si>
    <t xml:space="preserve">Library Hall Rentals </t>
  </si>
  <si>
    <t>036</t>
  </si>
  <si>
    <t>037</t>
  </si>
  <si>
    <t>038</t>
  </si>
  <si>
    <t>039</t>
  </si>
  <si>
    <t>Refuse Bags, Water &amp; Food Analysis and Water research levy</t>
  </si>
  <si>
    <t>Old Graves Williston &amp; Traffic Signs</t>
  </si>
  <si>
    <t>Commission: Pre Paid Sales Electricity &amp; Water</t>
  </si>
  <si>
    <t>Security: Alarms and Cameras &amp; Collections Costs</t>
  </si>
  <si>
    <t>Consumables, Courier Services &amp; Deeds Search Fees</t>
  </si>
  <si>
    <t>Losses Measured: Water &amp; Electricity</t>
  </si>
  <si>
    <t>Banners, Gazette &amp; Papers</t>
  </si>
  <si>
    <t>Bulk &amp; Small Usage</t>
  </si>
  <si>
    <t>Ward Committee Expenses</t>
  </si>
  <si>
    <t>STBank</t>
  </si>
  <si>
    <t>DBSA</t>
  </si>
  <si>
    <t>Finance Leases</t>
  </si>
  <si>
    <t>Copier, External Capital &amp; Interest</t>
  </si>
  <si>
    <t>Electrical Equipment, Equipment &amp; Radios</t>
  </si>
  <si>
    <t>Properties</t>
  </si>
  <si>
    <t>Computer Hardware &amp; Photocopiers</t>
  </si>
  <si>
    <t>Materials, Meters, Road Painting, Road Signs, Streetlights</t>
  </si>
  <si>
    <t>Vehicles</t>
  </si>
  <si>
    <t>Distribution Networks</t>
  </si>
  <si>
    <t>Library: Rental of Equipment</t>
  </si>
  <si>
    <t>Library: Newspapers</t>
  </si>
  <si>
    <t>Lost Books, Membership Fees and Television</t>
  </si>
  <si>
    <t>UDS Toilets</t>
  </si>
  <si>
    <t>Electrical Services</t>
  </si>
  <si>
    <t>External</t>
  </si>
  <si>
    <t>Committee &amp; Internal</t>
  </si>
  <si>
    <t>Skills Development &amp; Training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</si>
  <si>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</si>
  <si>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</si>
  <si>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</si>
  <si>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</si>
  <si>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</si>
  <si>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</si>
  <si>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</si>
  <si>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</si>
  <si>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</si>
  <si>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</si>
  <si>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</si>
  <si>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</si>
  <si>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</si>
  <si>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</si>
  <si>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</si>
  <si>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</si>
  <si>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</si>
  <si>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</si>
  <si>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</si>
  <si>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</si>
  <si>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</si>
  <si>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</si>
  <si>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</si>
  <si>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</si>
  <si>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</si>
  <si>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</si>
  <si>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</si>
  <si>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</si>
  <si>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</si>
  <si>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</si>
  <si>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</si>
  <si>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</si>
  <si>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</si>
  <si>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</si>
  <si>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</si>
  <si>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</si>
  <si>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</si>
  <si>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</si>
  <si>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</si>
  <si>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</si>
  <si>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</si>
  <si>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</si>
  <si>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</si>
  <si>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</si>
  <si>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</si>
  <si>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</si>
  <si>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</si>
  <si>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</si>
  <si>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</si>
  <si>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</si>
  <si>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</si>
  <si>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</si>
  <si>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</si>
  <si>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</si>
  <si>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</si>
  <si>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</si>
  <si>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</si>
  <si>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</si>
  <si>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</si>
  <si>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</si>
  <si>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</si>
  <si>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</si>
  <si>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</si>
  <si>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</si>
  <si>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</si>
  <si>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</si>
  <si>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</si>
  <si>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</si>
  <si>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</si>
  <si>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</si>
  <si>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</si>
  <si>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</si>
  <si>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</si>
  <si>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</si>
  <si>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</si>
  <si>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Sale of Property</t>
  </si>
  <si>
    <t>Cash Surplus</t>
  </si>
  <si>
    <t>Land Use Planning  Fees</t>
  </si>
  <si>
    <t xml:space="preserve">Encroachment Fees   </t>
  </si>
  <si>
    <t xml:space="preserve">Telephone &amp; Fax Fees  </t>
  </si>
  <si>
    <t xml:space="preserve">Entertainment/Refreshments Costs </t>
  </si>
  <si>
    <t>Garden Refuse Removal Income</t>
  </si>
  <si>
    <t>Library Fines: Income &amp; Lost Books</t>
  </si>
  <si>
    <t>NC066_</t>
  </si>
  <si>
    <t>LG SETA Skills development</t>
  </si>
  <si>
    <t xml:space="preserve"> Disciplinary Hearings Expenses</t>
  </si>
  <si>
    <t>Salga Fees</t>
  </si>
  <si>
    <t>040</t>
  </si>
  <si>
    <t>041</t>
  </si>
  <si>
    <t>Encroachmant Fees</t>
  </si>
  <si>
    <t>Overpaymant Collection</t>
  </si>
  <si>
    <t>Sundry Income</t>
  </si>
  <si>
    <t>042</t>
  </si>
  <si>
    <t>Rates Certificates</t>
  </si>
  <si>
    <t>043</t>
  </si>
  <si>
    <t>044</t>
  </si>
  <si>
    <t>EEDS</t>
  </si>
  <si>
    <t>Donations: Sutherland Festival</t>
  </si>
  <si>
    <t xml:space="preserve">Employee RC: Leave Gratification Expense  </t>
  </si>
  <si>
    <t xml:space="preserve">Employee RC: Long Service Award Expense  </t>
  </si>
  <si>
    <t>Repairs and Maintenance</t>
  </si>
  <si>
    <t>Maintenance_Distribution Networks_NC066_2017/2018_O_EXP_099</t>
  </si>
  <si>
    <t>BUDGET 2020/2021</t>
  </si>
  <si>
    <t>DEPARTEMENT</t>
  </si>
  <si>
    <t>COUNCIL</t>
  </si>
  <si>
    <t>MUNICIPAL MANAGER</t>
  </si>
  <si>
    <t>PARKS</t>
  </si>
  <si>
    <t>STREETS</t>
  </si>
  <si>
    <t>INCOME</t>
  </si>
  <si>
    <t>Deficit/(Surplus)</t>
  </si>
  <si>
    <t>EXPENSES</t>
  </si>
  <si>
    <t>Full Year Forecast</t>
  </si>
  <si>
    <t>Adj Budget</t>
  </si>
  <si>
    <t>Budget 2019/2020</t>
  </si>
  <si>
    <t>Budget 2020/2021</t>
  </si>
  <si>
    <t>Municipal Services Accounts</t>
  </si>
  <si>
    <t>Insurance Claims Recieved</t>
  </si>
  <si>
    <t>Sebata: PBX Monthly Calls</t>
  </si>
  <si>
    <t>System Access and Information Fees</t>
  </si>
  <si>
    <t>Indigent Subsidies: Refuse</t>
  </si>
  <si>
    <t>Donations: Fraserburg Logan Festival</t>
  </si>
  <si>
    <t>Donations: Churches</t>
  </si>
  <si>
    <t>Donations: KHM LFA</t>
  </si>
  <si>
    <t>Donations: Schools Sports</t>
  </si>
  <si>
    <t>EEDSM</t>
  </si>
  <si>
    <t>Street Lighting Fraserburg and Williston</t>
  </si>
  <si>
    <t xml:space="preserve">Administration Fees on Projects </t>
  </si>
  <si>
    <t>RBIG Expenses: Bulk Water Williston</t>
  </si>
  <si>
    <t xml:space="preserve">DESCRIPTION </t>
  </si>
  <si>
    <t>BEDRAG</t>
  </si>
  <si>
    <t>KAPITALE BEGROTING 2018/2019</t>
  </si>
  <si>
    <t>TOTALE KAPITALE UITGAWE</t>
  </si>
  <si>
    <t>Plaveistrate: Williston</t>
  </si>
  <si>
    <t>Straatligte: Fraserburg and Williston</t>
  </si>
  <si>
    <t>Ligte vir 15 Huise: Fraserburg</t>
  </si>
  <si>
    <t>Water Netwerk: Sutherland</t>
  </si>
  <si>
    <t>Groot Maat Water: Williston</t>
  </si>
  <si>
    <t>BUDGET 2021/2022</t>
  </si>
  <si>
    <t>Accomodation Costs</t>
  </si>
  <si>
    <t>Skills development levy LGSETA</t>
  </si>
  <si>
    <t>Audit: Internal Shared Service</t>
  </si>
  <si>
    <t xml:space="preserve">Connectivity Cost </t>
  </si>
  <si>
    <t>Lockers Kombuis</t>
  </si>
  <si>
    <t>Lockers Raadsale</t>
  </si>
  <si>
    <t>Omheining Kantore</t>
  </si>
  <si>
    <t>Argief Kaste</t>
  </si>
  <si>
    <t>Argief Addisionele plek</t>
  </si>
  <si>
    <t>Travelling Cost</t>
  </si>
  <si>
    <t>CFO</t>
  </si>
  <si>
    <t>MAYOR</t>
  </si>
  <si>
    <t>MB</t>
  </si>
  <si>
    <t>INFRA INCOME</t>
  </si>
  <si>
    <t>INFRA EXPENDITURE</t>
  </si>
  <si>
    <t>INFRA</t>
  </si>
  <si>
    <t>TOWN HALL AND OFFICES</t>
  </si>
  <si>
    <t>Grassnyer</t>
  </si>
  <si>
    <t>Stoof in Fraserburg Stadsaal</t>
  </si>
  <si>
    <t>Bykomende Ligte Sutherland</t>
  </si>
  <si>
    <t>Own Funding</t>
  </si>
  <si>
    <t xml:space="preserve">Laptops </t>
  </si>
  <si>
    <t xml:space="preserve">Williston Wall </t>
  </si>
  <si>
    <t>Budget 2021/2022</t>
  </si>
  <si>
    <t>A SCHEDULE CLASSIFICATION</t>
  </si>
  <si>
    <t>A SCHEDULE SUB CLASSIFICATION</t>
  </si>
  <si>
    <t xml:space="preserve">Service charges </t>
  </si>
  <si>
    <t>Service charges</t>
  </si>
  <si>
    <t>Capital</t>
  </si>
  <si>
    <t>Transfers recognised</t>
  </si>
  <si>
    <t>Operational</t>
  </si>
  <si>
    <t>Gains on disposal of assets</t>
  </si>
  <si>
    <t>Interest earned</t>
  </si>
  <si>
    <t>Outstanding debtors</t>
  </si>
  <si>
    <t>External investments</t>
  </si>
  <si>
    <t>Rebates</t>
  </si>
  <si>
    <t>Salaries</t>
  </si>
  <si>
    <t>Social</t>
  </si>
  <si>
    <t>Subsistence Costs</t>
  </si>
  <si>
    <t>Repayment of borrowing</t>
  </si>
  <si>
    <t>INEP: Expenditure</t>
  </si>
  <si>
    <t>Losses</t>
  </si>
  <si>
    <t>Municipal Services Accounts Electricity</t>
  </si>
  <si>
    <t>Municipal Services Accounts Water</t>
  </si>
  <si>
    <t>Municipal Services Accounts Sanitation</t>
  </si>
  <si>
    <t>Municipal Services Accounts Refuse</t>
  </si>
  <si>
    <t>Municipal Services Accounts Admin</t>
  </si>
  <si>
    <t>Municipal Services Accounts Libraries</t>
  </si>
  <si>
    <t>Contributed: PPE Vehicles</t>
  </si>
  <si>
    <t xml:space="preserve">Contributed: PPE Property </t>
  </si>
  <si>
    <t>Contributed: PPE Equipment</t>
  </si>
  <si>
    <t>Contributed: PPE  Furniture</t>
  </si>
  <si>
    <t>Own funding</t>
  </si>
  <si>
    <t>Contracted Services</t>
  </si>
  <si>
    <t>Other materials</t>
  </si>
  <si>
    <t>other materials</t>
  </si>
  <si>
    <t>Other Materials</t>
  </si>
  <si>
    <t>Transfers</t>
  </si>
  <si>
    <t xml:space="preserve">Fines </t>
  </si>
  <si>
    <t>Other revenue/transfers</t>
  </si>
  <si>
    <t xml:space="preserve">None </t>
  </si>
  <si>
    <t>BUDGET 2022/2023</t>
  </si>
  <si>
    <t>Budget 2022/2023</t>
  </si>
  <si>
    <t>DRAFT LINE ITEM BUDGET 2020/2021</t>
  </si>
  <si>
    <t>Council</t>
  </si>
  <si>
    <t>Elec</t>
  </si>
  <si>
    <t>AFS</t>
  </si>
  <si>
    <t>Assets</t>
  </si>
  <si>
    <t>mSCOA</t>
  </si>
  <si>
    <t>Interns</t>
  </si>
  <si>
    <t xml:space="preserve">Actuarial </t>
  </si>
  <si>
    <t>Diciplinary Board Expenses</t>
  </si>
  <si>
    <t>Advertisements: Notice Boards</t>
  </si>
  <si>
    <t>Sebata: Connect Redstor FMS</t>
  </si>
  <si>
    <t xml:space="preserve">Connectivity Cost: Vodacom </t>
  </si>
  <si>
    <t>Sebata: EMS Hosted</t>
  </si>
  <si>
    <t>Rates: Rebates Residential</t>
  </si>
  <si>
    <t xml:space="preserve">Refuse: Service Charges Availability Charges  </t>
  </si>
  <si>
    <t xml:space="preserve">Refuse: Service Charges Removal    </t>
  </si>
  <si>
    <t>Indigent Subsidies: Refuse Availablity Charges</t>
  </si>
  <si>
    <t>Indigent Subsidies: Refuse Removal</t>
  </si>
  <si>
    <t>Indigent Subsidies: Sanitation Charges</t>
  </si>
  <si>
    <t>Indigent Subsidies: Sanitation Pump Removal</t>
  </si>
  <si>
    <t xml:space="preserve">Sanitation: Service Charges </t>
  </si>
  <si>
    <t>Sanitation: Service Charges Availability Charges</t>
  </si>
  <si>
    <t xml:space="preserve">Sanitation: Service Charges Pump Removal </t>
  </si>
  <si>
    <t>Indigent Subsidies: Water Availability Charges</t>
  </si>
  <si>
    <t xml:space="preserve">Indigent Subsidies: Water Readings </t>
  </si>
  <si>
    <t>Indigent Subsidies: Water Conventional</t>
  </si>
  <si>
    <t>Indigent Subsidies: Water Pre-Paid</t>
  </si>
  <si>
    <t>Water: Availability Charges</t>
  </si>
  <si>
    <t>Water: Meter Reading</t>
  </si>
  <si>
    <t xml:space="preserve">Water: Service Charges Conventional                </t>
  </si>
  <si>
    <t>Water: Pre-paid</t>
  </si>
  <si>
    <t xml:space="preserve">Electricity: Service Charges Comm Conventional 3 Phase   </t>
  </si>
  <si>
    <t xml:space="preserve">Electricity: Service Charges Comm Conventional 1 Phase   </t>
  </si>
  <si>
    <t xml:space="preserve">Electricity: Service Charges Comm Pre Paid </t>
  </si>
  <si>
    <t xml:space="preserve">Electricity: Service Charges Domestic High Conventional </t>
  </si>
  <si>
    <t>Electricity: Service Charges Domestic Low Indigent</t>
  </si>
  <si>
    <t>Electricity: Availability Charges</t>
  </si>
  <si>
    <t xml:space="preserve">Electricity: Domestic Low Prepaid Sales  </t>
  </si>
  <si>
    <t>Indigent Subsidies: Electricity Pre-Paid Indigent Subsidy</t>
  </si>
  <si>
    <t>Electricity: Availability Charges Indigent Subsidy</t>
  </si>
  <si>
    <t xml:space="preserve">Electricity: Service Charges Comm Conventional 1 Phase Indigent Subsidy </t>
  </si>
  <si>
    <t xml:space="preserve">Electricity: Service Charges Comm Conventional 3 Phase Indigent Subsidy  </t>
  </si>
  <si>
    <t>Electricity: Service Charges Comm Pre Paid Indigent Subsidy</t>
  </si>
  <si>
    <t>Electricity: Service Charges Domestic High Conventional Indigent Subsidy</t>
  </si>
  <si>
    <t>Electricity: Service Charges Domestic Low Indigent Subsidy</t>
  </si>
  <si>
    <t>Commission: Telephone Befficent</t>
  </si>
  <si>
    <t>Fraserburg Publieke Toilette</t>
  </si>
  <si>
    <t>Raads Voertuie</t>
  </si>
  <si>
    <t>Streets paving: Williston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</si>
</sst>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 * #,##0_ ;_ * \-#,##0_ ;_ * &quot;-&quot;_ ;_ @_ "/>
    <numFmt numFmtId="166" formatCode="_ * #,##0.00_ ;_ * \-#,##0.00_ ;_ * &quot;-&quot;??_ ;_ @_ "/>
    <numFmt numFmtId="167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0">
    <xf numFmtId="0" fontId="0" fillId="0" borderId="0" xfId="0"/>
    <xf numFmtId="0" fontId="18" fillId="0" borderId="0" xfId="0" applyFont="1"/>
    <xf numFmtId="43" fontId="0" fillId="0" borderId="0" xfId="0" applyNumberFormat="1"/>
    <xf numFmtId="43" fontId="0" fillId="0" borderId="11" xfId="0" applyNumberFormat="1" applyBorder="1"/>
    <xf numFmtId="0" fontId="0" fillId="33" borderId="0" xfId="0" applyFill="1"/>
    <xf numFmtId="0" fontId="0" fillId="0" borderId="11" xfId="0" applyBorder="1"/>
    <xf numFmtId="0" fontId="0" fillId="0" borderId="12" xfId="0" applyBorder="1"/>
    <xf numFmtId="43" fontId="0" fillId="0" borderId="12" xfId="0" applyNumberFormat="1" applyBorder="1"/>
    <xf numFmtId="0" fontId="0" fillId="0" borderId="0" xfId="0" applyBorder="1"/>
    <xf numFmtId="43" fontId="0" fillId="0" borderId="0" xfId="0" applyNumberFormat="1" applyBorder="1"/>
    <xf numFmtId="43" fontId="16" fillId="0" borderId="11" xfId="0" applyNumberFormat="1" applyFont="1" applyBorder="1"/>
    <xf numFmtId="0" fontId="0" fillId="33" borderId="11" xfId="0" applyFill="1" applyBorder="1"/>
    <xf numFmtId="0" fontId="16" fillId="34" borderId="0" xfId="0" applyFont="1" applyFill="1" applyBorder="1"/>
    <xf numFmtId="0" fontId="0" fillId="0" borderId="13" xfId="0" applyBorder="1" applyAlignment="1">
      <alignment horizontal="left"/>
    </xf>
    <xf numFmtId="0" fontId="0" fillId="0" borderId="14" xfId="0" applyBorder="1"/>
    <xf numFmtId="43" fontId="0" fillId="0" borderId="14" xfId="0" applyNumberFormat="1" applyBorder="1"/>
    <xf numFmtId="43" fontId="0" fillId="0" borderId="15" xfId="0" applyNumberFormat="1" applyBorder="1"/>
    <xf numFmtId="0" fontId="0" fillId="0" borderId="16" xfId="0" applyBorder="1" applyAlignment="1">
      <alignment horizontal="left"/>
    </xf>
    <xf numFmtId="43" fontId="0" fillId="0" borderId="17" xfId="0" applyNumberFormat="1" applyBorder="1"/>
    <xf numFmtId="0" fontId="16" fillId="0" borderId="16" xfId="0" applyFont="1" applyBorder="1" applyAlignment="1">
      <alignment horizontal="left"/>
    </xf>
    <xf numFmtId="0" fontId="0" fillId="0" borderId="18" xfId="0" applyBorder="1" applyAlignment="1">
      <alignment horizontal="right"/>
    </xf>
    <xf numFmtId="43" fontId="0" fillId="0" borderId="19" xfId="0" applyNumberFormat="1" applyBorder="1"/>
    <xf numFmtId="43" fontId="16" fillId="0" borderId="17" xfId="0" applyNumberFormat="1" applyFont="1" applyBorder="1"/>
    <xf numFmtId="0" fontId="0" fillId="0" borderId="18" xfId="0" applyBorder="1"/>
    <xf numFmtId="0" fontId="16" fillId="0" borderId="20" xfId="0" applyFont="1" applyFill="1" applyBorder="1" applyAlignment="1">
      <alignment horizontal="left"/>
    </xf>
    <xf numFmtId="0" fontId="0" fillId="0" borderId="21" xfId="0" applyBorder="1"/>
    <xf numFmtId="43" fontId="16" fillId="0" borderId="21" xfId="0" applyNumberFormat="1" applyFont="1" applyBorder="1"/>
    <xf numFmtId="43" fontId="16" fillId="0" borderId="22" xfId="0" applyNumberFormat="1" applyFont="1" applyBorder="1"/>
    <xf numFmtId="0" fontId="16" fillId="34" borderId="0" xfId="0" applyFont="1" applyFill="1"/>
    <xf numFmtId="0" fontId="16" fillId="0" borderId="11" xfId="0" applyFont="1" applyFill="1" applyBorder="1"/>
    <xf numFmtId="0" fontId="0" fillId="0" borderId="0" xfId="0" applyFill="1" applyBorder="1"/>
    <xf numFmtId="0" fontId="0" fillId="0" borderId="13" xfId="0" applyBorder="1"/>
    <xf numFmtId="0" fontId="0" fillId="0" borderId="16" xfId="0" applyBorder="1"/>
    <xf numFmtId="0" fontId="16" fillId="0" borderId="16" xfId="0" applyFont="1" applyBorder="1"/>
    <xf numFmtId="0" fontId="16" fillId="0" borderId="16" xfId="0" applyFont="1" applyFill="1" applyBorder="1"/>
    <xf numFmtId="0" fontId="16" fillId="0" borderId="20" xfId="0" applyFont="1" applyFill="1" applyBorder="1"/>
    <xf numFmtId="43" fontId="18" fillId="0" borderId="24" xfId="0" applyNumberFormat="1" applyFont="1" applyBorder="1" applyAlignment="1">
      <alignment wrapText="1"/>
    </xf>
    <xf numFmtId="43" fontId="18" fillId="0" borderId="25" xfId="0" applyNumberFormat="1" applyFont="1" applyBorder="1" applyAlignment="1">
      <alignment wrapText="1"/>
    </xf>
    <xf numFmtId="0" fontId="18" fillId="0" borderId="24" xfId="0" applyFont="1" applyBorder="1" applyAlignment="1">
      <alignment vertical="top"/>
    </xf>
    <xf numFmtId="43" fontId="16" fillId="0" borderId="0" xfId="0" applyNumberFormat="1" applyFont="1" applyBorder="1"/>
    <xf numFmtId="43" fontId="16" fillId="0" borderId="19" xfId="0" applyNumberFormat="1" applyFont="1" applyBorder="1"/>
    <xf numFmtId="0" fontId="0" fillId="0" borderId="13" xfId="0" applyFont="1" applyBorder="1"/>
    <xf numFmtId="0" fontId="0" fillId="0" borderId="16" xfId="0" applyFont="1" applyBorder="1"/>
    <xf numFmtId="43" fontId="0" fillId="0" borderId="26" xfId="0" applyNumberFormat="1" applyBorder="1"/>
    <xf numFmtId="0" fontId="0" fillId="0" borderId="16" xfId="0" applyFill="1" applyBorder="1"/>
    <xf numFmtId="0" fontId="0" fillId="0" borderId="27" xfId="0" applyFill="1" applyBorder="1"/>
    <xf numFmtId="0" fontId="16" fillId="0" borderId="16" xfId="0" applyFont="1" applyFill="1" applyBorder="1" applyAlignment="1">
      <alignment horizontal="left"/>
    </xf>
    <xf numFmtId="0" fontId="19" fillId="0" borderId="0" xfId="0" applyFont="1"/>
    <xf numFmtId="43" fontId="19" fillId="0" borderId="0" xfId="0" applyNumberFormat="1" applyFont="1"/>
    <xf numFmtId="43" fontId="19" fillId="0" borderId="11" xfId="0" applyNumberFormat="1" applyFont="1" applyBorder="1"/>
    <xf numFmtId="43" fontId="21" fillId="0" borderId="10" xfId="0" applyNumberFormat="1" applyFont="1" applyBorder="1"/>
    <xf numFmtId="0" fontId="21" fillId="0" borderId="11" xfId="0" applyFont="1" applyBorder="1"/>
    <xf numFmtId="0" fontId="18" fillId="0" borderId="28" xfId="0" applyFont="1" applyBorder="1" applyAlignment="1">
      <alignment vertical="top"/>
    </xf>
    <xf numFmtId="0" fontId="18" fillId="0" borderId="23" xfId="0" applyFont="1" applyBorder="1" applyAlignment="1">
      <alignment horizontal="left" wrapText="1"/>
    </xf>
    <xf numFmtId="43" fontId="0" fillId="0" borderId="29" xfId="0" applyNumberFormat="1" applyBorder="1"/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top"/>
    </xf>
    <xf numFmtId="43" fontId="18" fillId="0" borderId="0" xfId="0" applyNumberFormat="1" applyFont="1" applyBorder="1" applyAlignment="1">
      <alignment wrapText="1"/>
    </xf>
    <xf numFmtId="43" fontId="0" fillId="0" borderId="31" xfId="0" applyNumberFormat="1" applyBorder="1"/>
    <xf numFmtId="43" fontId="16" fillId="0" borderId="29" xfId="0" applyNumberFormat="1" applyFont="1" applyBorder="1"/>
    <xf numFmtId="43" fontId="16" fillId="0" borderId="32" xfId="0" applyNumberFormat="1" applyFont="1" applyBorder="1"/>
    <xf numFmtId="43" fontId="0" fillId="0" borderId="13" xfId="0" applyNumberFormat="1" applyBorder="1"/>
    <xf numFmtId="43" fontId="0" fillId="0" borderId="16" xfId="0" applyNumberFormat="1" applyBorder="1"/>
    <xf numFmtId="43" fontId="16" fillId="0" borderId="16" xfId="0" applyNumberFormat="1" applyFont="1" applyBorder="1"/>
    <xf numFmtId="43" fontId="0" fillId="0" borderId="18" xfId="0" applyNumberFormat="1" applyBorder="1"/>
    <xf numFmtId="43" fontId="16" fillId="0" borderId="20" xfId="0" applyNumberFormat="1" applyFont="1" applyBorder="1"/>
    <xf numFmtId="0" fontId="0" fillId="0" borderId="11" xfId="0" applyFill="1" applyBorder="1"/>
    <xf numFmtId="0" fontId="16" fillId="34" borderId="18" xfId="0" applyFont="1" applyFill="1" applyBorder="1"/>
    <xf numFmtId="43" fontId="16" fillId="0" borderId="18" xfId="0" applyNumberFormat="1" applyFont="1" applyBorder="1"/>
    <xf numFmtId="0" fontId="0" fillId="0" borderId="14" xfId="0" applyFill="1" applyBorder="1"/>
    <xf numFmtId="0" fontId="19" fillId="0" borderId="0" xfId="0" applyFont="1" applyFill="1"/>
    <xf numFmtId="0" fontId="21" fillId="0" borderId="11" xfId="0" applyFont="1" applyFill="1" applyBorder="1"/>
    <xf numFmtId="0" fontId="0" fillId="35" borderId="11" xfId="0" applyFill="1" applyBorder="1"/>
    <xf numFmtId="0" fontId="21" fillId="0" borderId="0" xfId="0" applyFont="1"/>
    <xf numFmtId="10" fontId="0" fillId="0" borderId="0" xfId="0" applyNumberFormat="1"/>
    <xf numFmtId="43" fontId="0" fillId="33" borderId="16" xfId="0" applyNumberFormat="1" applyFill="1" applyBorder="1"/>
    <xf numFmtId="43" fontId="0" fillId="33" borderId="13" xfId="0" applyNumberFormat="1" applyFill="1" applyBorder="1"/>
    <xf numFmtId="43" fontId="0" fillId="37" borderId="13" xfId="0" applyNumberFormat="1" applyFill="1" applyBorder="1"/>
    <xf numFmtId="43" fontId="0" fillId="37" borderId="16" xfId="0" applyNumberFormat="1" applyFill="1" applyBorder="1"/>
    <xf numFmtId="0" fontId="0" fillId="0" borderId="33" xfId="0" applyBorder="1"/>
    <xf numFmtId="0" fontId="0" fillId="0" borderId="30" xfId="0" applyBorder="1"/>
    <xf numFmtId="43" fontId="0" fillId="0" borderId="30" xfId="0" applyNumberFormat="1" applyBorder="1"/>
    <xf numFmtId="43" fontId="0" fillId="0" borderId="34" xfId="0" applyNumberFormat="1" applyBorder="1"/>
    <xf numFmtId="43" fontId="0" fillId="0" borderId="33" xfId="0" applyNumberFormat="1" applyBorder="1"/>
    <xf numFmtId="43" fontId="0" fillId="0" borderId="35" xfId="0" applyNumberFormat="1" applyBorder="1"/>
    <xf numFmtId="0" fontId="0" fillId="0" borderId="21" xfId="0" applyFill="1" applyBorder="1"/>
    <xf numFmtId="0" fontId="16" fillId="0" borderId="0" xfId="0" applyFont="1"/>
    <xf numFmtId="43" fontId="16" fillId="0" borderId="10" xfId="0" applyNumberFormat="1" applyFont="1" applyBorder="1"/>
    <xf numFmtId="43" fontId="0" fillId="0" borderId="16" xfId="0" applyNumberFormat="1" applyFill="1" applyBorder="1"/>
    <xf numFmtId="43" fontId="0" fillId="0" borderId="11" xfId="0" applyNumberFormat="1" applyFill="1" applyBorder="1"/>
    <xf numFmtId="43" fontId="0" fillId="0" borderId="29" xfId="0" applyNumberFormat="1" applyFill="1" applyBorder="1"/>
    <xf numFmtId="43" fontId="0" fillId="0" borderId="13" xfId="0" applyNumberFormat="1" applyFill="1" applyBorder="1"/>
    <xf numFmtId="43" fontId="16" fillId="0" borderId="0" xfId="0" applyNumberFormat="1" applyFont="1"/>
    <xf numFmtId="0" fontId="0" fillId="0" borderId="13" xfId="0" applyFill="1" applyBorder="1"/>
    <xf numFmtId="43" fontId="0" fillId="0" borderId="14" xfId="0" applyNumberFormat="1" applyFill="1" applyBorder="1"/>
    <xf numFmtId="43" fontId="0" fillId="0" borderId="15" xfId="0" applyNumberFormat="1" applyFill="1" applyBorder="1"/>
    <xf numFmtId="43" fontId="0" fillId="0" borderId="17" xfId="0" applyNumberFormat="1" applyFill="1" applyBorder="1"/>
    <xf numFmtId="0" fontId="0" fillId="0" borderId="17" xfId="0" applyFill="1" applyBorder="1"/>
    <xf numFmtId="0" fontId="0" fillId="0" borderId="20" xfId="0" applyFill="1" applyBorder="1"/>
    <xf numFmtId="0" fontId="0" fillId="0" borderId="22" xfId="0" applyFill="1" applyBorder="1"/>
    <xf numFmtId="43" fontId="0" fillId="0" borderId="31" xfId="0" applyNumberFormat="1" applyFill="1" applyBorder="1"/>
    <xf numFmtId="0" fontId="0" fillId="0" borderId="29" xfId="0" applyFill="1" applyBorder="1"/>
    <xf numFmtId="0" fontId="0" fillId="0" borderId="32" xfId="0" applyFill="1" applyBorder="1"/>
    <xf numFmtId="43" fontId="0" fillId="0" borderId="21" xfId="0" applyNumberFormat="1" applyFill="1" applyBorder="1"/>
    <xf numFmtId="43" fontId="0" fillId="0" borderId="32" xfId="0" applyNumberFormat="1" applyFill="1" applyBorder="1"/>
    <xf numFmtId="43" fontId="0" fillId="0" borderId="20" xfId="0" applyNumberFormat="1" applyFill="1" applyBorder="1"/>
    <xf numFmtId="43" fontId="0" fillId="0" borderId="22" xfId="0" applyNumberFormat="1" applyFill="1" applyBorder="1"/>
    <xf numFmtId="43" fontId="16" fillId="0" borderId="0" xfId="0" applyNumberFormat="1" applyFont="1" applyFill="1" applyBorder="1"/>
    <xf numFmtId="0" fontId="0" fillId="0" borderId="38" xfId="0" applyFill="1" applyBorder="1"/>
    <xf numFmtId="43" fontId="18" fillId="0" borderId="25" xfId="0" applyNumberFormat="1" applyFont="1" applyFill="1" applyBorder="1" applyAlignment="1">
      <alignment wrapText="1"/>
    </xf>
    <xf numFmtId="43" fontId="18" fillId="0" borderId="0" xfId="0" applyNumberFormat="1" applyFont="1" applyFill="1" applyBorder="1" applyAlignment="1">
      <alignment wrapText="1"/>
    </xf>
    <xf numFmtId="43" fontId="0" fillId="0" borderId="0" xfId="0" applyNumberFormat="1" applyFill="1"/>
    <xf numFmtId="43" fontId="16" fillId="0" borderId="10" xfId="0" applyNumberFormat="1" applyFont="1" applyFill="1" applyBorder="1"/>
    <xf numFmtId="0" fontId="0" fillId="0" borderId="0" xfId="0" applyFill="1"/>
    <xf numFmtId="43" fontId="0" fillId="0" borderId="0" xfId="0" applyNumberFormat="1" applyFill="1" applyBorder="1"/>
    <xf numFmtId="43" fontId="18" fillId="0" borderId="36" xfId="0" applyNumberFormat="1" applyFont="1" applyFill="1" applyBorder="1" applyAlignment="1">
      <alignment wrapText="1"/>
    </xf>
    <xf numFmtId="0" fontId="22" fillId="0" borderId="0" xfId="0" applyNumberFormat="1" applyFont="1" applyFill="1"/>
    <xf numFmtId="0" fontId="16" fillId="0" borderId="0" xfId="0" applyFont="1" applyFill="1"/>
    <xf numFmtId="0" fontId="22" fillId="0" borderId="0" xfId="0" applyFont="1" applyFill="1"/>
    <xf numFmtId="0" fontId="24" fillId="0" borderId="0" xfId="0" applyFont="1"/>
    <xf numFmtId="0" fontId="18" fillId="0" borderId="24" xfId="0" applyFont="1" applyFill="1" applyBorder="1" applyAlignment="1">
      <alignment vertical="top"/>
    </xf>
    <xf numFmtId="43" fontId="18" fillId="0" borderId="24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vertical="top"/>
    </xf>
    <xf numFmtId="0" fontId="0" fillId="0" borderId="37" xfId="0" applyFill="1" applyBorder="1"/>
    <xf numFmtId="0" fontId="0" fillId="0" borderId="39" xfId="0" applyFill="1" applyBorder="1"/>
    <xf numFmtId="0" fontId="0" fillId="0" borderId="40" xfId="0" applyFill="1" applyBorder="1"/>
    <xf numFmtId="0" fontId="16" fillId="0" borderId="0" xfId="0" applyFont="1" applyFill="1" applyBorder="1"/>
    <xf numFmtId="43" fontId="0" fillId="0" borderId="11" xfId="0" applyNumberFormat="1" applyFont="1" applyFill="1" applyBorder="1"/>
    <xf numFmtId="43" fontId="26" fillId="0" borderId="0" xfId="0" applyNumberFormat="1" applyFont="1"/>
    <xf numFmtId="167" fontId="0" fillId="0" borderId="0" xfId="0" applyNumberFormat="1"/>
    <xf numFmtId="166" fontId="0" fillId="0" borderId="0" xfId="0" applyNumberFormat="1" applyFill="1"/>
    <xf numFmtId="0" fontId="0" fillId="0" borderId="29" xfId="0" applyBorder="1"/>
    <xf numFmtId="0" fontId="0" fillId="0" borderId="33" xfId="0" applyFill="1" applyBorder="1"/>
    <xf numFmtId="0" fontId="0" fillId="0" borderId="0" xfId="0" applyNumberFormat="1" applyFill="1"/>
    <xf numFmtId="0" fontId="18" fillId="0" borderId="36" xfId="0" applyNumberFormat="1" applyFont="1" applyFill="1" applyBorder="1" applyAlignment="1">
      <alignment wrapText="1"/>
    </xf>
    <xf numFmtId="166" fontId="0" fillId="0" borderId="11" xfId="0" applyNumberFormat="1" applyFill="1" applyBorder="1"/>
    <xf numFmtId="43" fontId="26" fillId="0" borderId="36" xfId="0" applyNumberFormat="1" applyFont="1" applyFill="1" applyBorder="1" applyAlignment="1">
      <alignment wrapText="1"/>
    </xf>
    <xf numFmtId="0" fontId="18" fillId="0" borderId="36" xfId="0" applyFont="1" applyFill="1" applyBorder="1"/>
    <xf numFmtId="0" fontId="22" fillId="0" borderId="0" xfId="0" applyNumberFormat="1" applyFont="1" applyFill="1" applyBorder="1"/>
    <xf numFmtId="0" fontId="16" fillId="0" borderId="0" xfId="0" applyNumberFormat="1" applyFont="1" applyFill="1" applyBorder="1"/>
    <xf numFmtId="166" fontId="0" fillId="0" borderId="0" xfId="0" applyNumberFormat="1" applyFill="1" applyBorder="1"/>
    <xf numFmtId="166" fontId="26" fillId="0" borderId="36" xfId="0" applyNumberFormat="1" applyFont="1" applyFill="1" applyBorder="1" applyAlignment="1">
      <alignment wrapText="1"/>
    </xf>
    <xf numFmtId="0" fontId="18" fillId="0" borderId="42" xfId="0" applyFont="1" applyFill="1" applyBorder="1" applyAlignment="1">
      <alignment wrapText="1"/>
    </xf>
    <xf numFmtId="0" fontId="18" fillId="0" borderId="36" xfId="0" applyFont="1" applyFill="1" applyBorder="1" applyAlignment="1">
      <alignment wrapText="1"/>
    </xf>
    <xf numFmtId="49" fontId="18" fillId="0" borderId="42" xfId="0" applyNumberFormat="1" applyFont="1" applyFill="1" applyBorder="1" applyAlignment="1">
      <alignment wrapText="1"/>
    </xf>
    <xf numFmtId="49" fontId="0" fillId="0" borderId="0" xfId="0" applyNumberFormat="1" applyFill="1"/>
    <xf numFmtId="0" fontId="0" fillId="0" borderId="44" xfId="0" applyFill="1" applyBorder="1"/>
    <xf numFmtId="0" fontId="0" fillId="0" borderId="36" xfId="0" applyFill="1" applyBorder="1"/>
    <xf numFmtId="0" fontId="0" fillId="0" borderId="3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0" xfId="0" applyFill="1" applyAlignment="1">
      <alignment horizontal="center" vertical="center"/>
    </xf>
    <xf numFmtId="0" fontId="18" fillId="0" borderId="36" xfId="0" applyFont="1" applyFill="1" applyBorder="1" applyAlignment="1">
      <alignment horizontal="center" vertical="center" wrapText="1"/>
    </xf>
    <xf numFmtId="0" fontId="0" fillId="0" borderId="41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/>
    <xf numFmtId="49" fontId="0" fillId="0" borderId="0" xfId="0" quotePrefix="1" applyNumberFormat="1" applyFill="1" applyBorder="1"/>
    <xf numFmtId="0" fontId="0" fillId="0" borderId="48" xfId="0" applyFill="1" applyBorder="1"/>
    <xf numFmtId="43" fontId="0" fillId="0" borderId="49" xfId="0" applyNumberFormat="1" applyFill="1" applyBorder="1"/>
    <xf numFmtId="0" fontId="0" fillId="0" borderId="49" xfId="0" applyFill="1" applyBorder="1"/>
    <xf numFmtId="0" fontId="0" fillId="0" borderId="49" xfId="0" applyNumberFormat="1" applyFill="1" applyBorder="1"/>
    <xf numFmtId="49" fontId="0" fillId="0" borderId="49" xfId="0" quotePrefix="1" applyNumberFormat="1" applyFill="1" applyBorder="1"/>
    <xf numFmtId="0" fontId="0" fillId="0" borderId="50" xfId="0" applyFill="1" applyBorder="1" applyAlignment="1">
      <alignment horizontal="center" vertical="center"/>
    </xf>
    <xf numFmtId="0" fontId="0" fillId="0" borderId="51" xfId="0" applyFill="1" applyBorder="1"/>
    <xf numFmtId="43" fontId="0" fillId="0" borderId="52" xfId="0" applyNumberFormat="1" applyFill="1" applyBorder="1"/>
    <xf numFmtId="0" fontId="0" fillId="0" borderId="52" xfId="0" applyFill="1" applyBorder="1"/>
    <xf numFmtId="0" fontId="0" fillId="0" borderId="52" xfId="0" applyNumberFormat="1" applyFill="1" applyBorder="1"/>
    <xf numFmtId="166" fontId="0" fillId="0" borderId="52" xfId="0" applyNumberFormat="1" applyFill="1" applyBorder="1"/>
    <xf numFmtId="49" fontId="0" fillId="0" borderId="52" xfId="0" quotePrefix="1" applyNumberFormat="1" applyFill="1" applyBorder="1"/>
    <xf numFmtId="0" fontId="0" fillId="0" borderId="53" xfId="0" applyFill="1" applyBorder="1" applyAlignment="1">
      <alignment horizontal="center" vertical="center"/>
    </xf>
    <xf numFmtId="0" fontId="0" fillId="0" borderId="18" xfId="0" applyFill="1" applyBorder="1"/>
    <xf numFmtId="0" fontId="0" fillId="0" borderId="19" xfId="0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52" xfId="0" applyNumberFormat="1" applyFill="1" applyBorder="1"/>
    <xf numFmtId="0" fontId="0" fillId="0" borderId="54" xfId="0" applyFill="1" applyBorder="1" applyAlignment="1">
      <alignment horizontal="center" vertical="center"/>
    </xf>
    <xf numFmtId="166" fontId="0" fillId="0" borderId="49" xfId="0" applyNumberFormat="1" applyFill="1" applyBorder="1"/>
    <xf numFmtId="0" fontId="0" fillId="0" borderId="55" xfId="0" applyFill="1" applyBorder="1"/>
    <xf numFmtId="0" fontId="0" fillId="0" borderId="37" xfId="0" applyFill="1" applyBorder="1" applyAlignment="1">
      <alignment horizontal="center" vertical="center"/>
    </xf>
    <xf numFmtId="43" fontId="0" fillId="0" borderId="43" xfId="0" applyNumberFormat="1" applyFill="1" applyBorder="1"/>
    <xf numFmtId="0" fontId="0" fillId="0" borderId="43" xfId="0" applyFill="1" applyBorder="1"/>
    <xf numFmtId="0" fontId="0" fillId="0" borderId="43" xfId="0" applyNumberFormat="1" applyFill="1" applyBorder="1"/>
    <xf numFmtId="49" fontId="0" fillId="0" borderId="43" xfId="0" quotePrefix="1" applyNumberFormat="1" applyFill="1" applyBorder="1"/>
    <xf numFmtId="0" fontId="0" fillId="0" borderId="42" xfId="0" applyFill="1" applyBorder="1" applyAlignment="1">
      <alignment horizontal="center" vertical="center"/>
    </xf>
    <xf numFmtId="166" fontId="0" fillId="0" borderId="43" xfId="0" applyNumberFormat="1" applyFill="1" applyBorder="1"/>
    <xf numFmtId="0" fontId="0" fillId="0" borderId="42" xfId="0" applyFill="1" applyBorder="1"/>
    <xf numFmtId="10" fontId="0" fillId="0" borderId="43" xfId="0" applyNumberFormat="1" applyFill="1" applyBorder="1"/>
    <xf numFmtId="49" fontId="0" fillId="0" borderId="49" xfId="0" applyNumberFormat="1" applyFill="1" applyBorder="1"/>
    <xf numFmtId="0" fontId="0" fillId="0" borderId="31" xfId="0" applyFill="1" applyBorder="1"/>
    <xf numFmtId="9" fontId="0" fillId="0" borderId="0" xfId="0" applyNumberFormat="1" applyFill="1" applyBorder="1"/>
    <xf numFmtId="0" fontId="0" fillId="38" borderId="43" xfId="0" applyFill="1" applyBorder="1"/>
    <xf numFmtId="165" fontId="0" fillId="0" borderId="0" xfId="0" applyNumberFormat="1"/>
    <xf numFmtId="165" fontId="16" fillId="0" borderId="44" xfId="0" applyNumberFormat="1" applyFont="1" applyBorder="1" applyAlignment="1">
      <alignment wrapText="1"/>
    </xf>
    <xf numFmtId="165" fontId="16" fillId="0" borderId="56" xfId="0" applyNumberFormat="1" applyFont="1" applyBorder="1" applyAlignment="1">
      <alignment wrapText="1"/>
    </xf>
    <xf numFmtId="165" fontId="16" fillId="0" borderId="57" xfId="0" applyNumberFormat="1" applyFont="1" applyBorder="1" applyAlignment="1">
      <alignment wrapText="1"/>
    </xf>
    <xf numFmtId="165" fontId="0" fillId="0" borderId="59" xfId="0" applyNumberFormat="1" applyBorder="1"/>
    <xf numFmtId="165" fontId="0" fillId="0" borderId="58" xfId="0" applyNumberFormat="1" applyBorder="1"/>
    <xf numFmtId="165" fontId="0" fillId="0" borderId="0" xfId="0" applyNumberFormat="1" applyBorder="1"/>
    <xf numFmtId="165" fontId="16" fillId="0" borderId="29" xfId="0" applyNumberFormat="1" applyFont="1" applyBorder="1"/>
    <xf numFmtId="165" fontId="16" fillId="0" borderId="60" xfId="0" applyNumberFormat="1" applyFont="1" applyBorder="1"/>
    <xf numFmtId="165" fontId="16" fillId="0" borderId="39" xfId="0" applyNumberFormat="1" applyFont="1" applyBorder="1"/>
    <xf numFmtId="0" fontId="0" fillId="0" borderId="61" xfId="0" applyBorder="1"/>
    <xf numFmtId="165" fontId="0" fillId="0" borderId="34" xfId="0" applyNumberFormat="1" applyBorder="1"/>
    <xf numFmtId="165" fontId="0" fillId="0" borderId="62" xfId="0" applyNumberFormat="1" applyBorder="1"/>
    <xf numFmtId="165" fontId="0" fillId="0" borderId="63" xfId="0" applyNumberFormat="1" applyBorder="1"/>
    <xf numFmtId="0" fontId="16" fillId="0" borderId="30" xfId="0" applyFont="1" applyBorder="1"/>
    <xf numFmtId="165" fontId="16" fillId="0" borderId="34" xfId="0" applyNumberFormat="1" applyFont="1" applyBorder="1"/>
    <xf numFmtId="165" fontId="16" fillId="0" borderId="62" xfId="0" applyNumberFormat="1" applyFont="1" applyBorder="1" applyAlignment="1"/>
    <xf numFmtId="43" fontId="0" fillId="33" borderId="43" xfId="0" applyNumberFormat="1" applyFill="1" applyBorder="1"/>
    <xf numFmtId="43" fontId="0" fillId="33" borderId="0" xfId="0" applyNumberFormat="1" applyFill="1" applyBorder="1"/>
    <xf numFmtId="43" fontId="0" fillId="33" borderId="49" xfId="0" applyNumberFormat="1" applyFill="1" applyBorder="1"/>
    <xf numFmtId="43" fontId="0" fillId="33" borderId="52" xfId="0" applyNumberFormat="1" applyFill="1" applyBorder="1"/>
    <xf numFmtId="166" fontId="16" fillId="0" borderId="10" xfId="0" applyNumberFormat="1" applyFont="1" applyFill="1" applyBorder="1"/>
    <xf numFmtId="0" fontId="0" fillId="0" borderId="46" xfId="0" applyBorder="1"/>
    <xf numFmtId="0" fontId="0" fillId="0" borderId="39" xfId="0" applyBorder="1"/>
    <xf numFmtId="0" fontId="0" fillId="0" borderId="11" xfId="0" applyFont="1" applyFill="1" applyBorder="1"/>
    <xf numFmtId="0" fontId="22" fillId="0" borderId="11" xfId="0" applyNumberFormat="1" applyFont="1" applyFill="1" applyBorder="1"/>
    <xf numFmtId="0" fontId="29" fillId="0" borderId="11" xfId="0" applyFont="1" applyFill="1" applyBorder="1"/>
    <xf numFmtId="0" fontId="16" fillId="0" borderId="11" xfId="0" applyNumberFormat="1" applyFont="1" applyFill="1" applyBorder="1"/>
    <xf numFmtId="0" fontId="18" fillId="0" borderId="24" xfId="0" applyFont="1" applyFill="1" applyBorder="1" applyAlignment="1"/>
    <xf numFmtId="43" fontId="16" fillId="34" borderId="0" xfId="0" applyNumberFormat="1" applyFont="1" applyFill="1"/>
    <xf numFmtId="0" fontId="18" fillId="0" borderId="41" xfId="0" applyFont="1" applyBorder="1" applyAlignment="1">
      <alignment vertical="top"/>
    </xf>
    <xf numFmtId="43" fontId="18" fillId="0" borderId="42" xfId="0" applyNumberFormat="1" applyFont="1" applyFill="1" applyBorder="1" applyAlignment="1">
      <alignment wrapText="1"/>
    </xf>
    <xf numFmtId="43" fontId="28" fillId="0" borderId="11" xfId="0" applyNumberFormat="1" applyFont="1" applyFill="1" applyBorder="1"/>
    <xf numFmtId="0" fontId="0" fillId="0" borderId="58" xfId="0" applyBorder="1"/>
    <xf numFmtId="166" fontId="0" fillId="0" borderId="11" xfId="0" applyNumberFormat="1" applyBorder="1"/>
    <xf numFmtId="166" fontId="0" fillId="0" borderId="0" xfId="0" applyNumberFormat="1"/>
    <xf numFmtId="164" fontId="0" fillId="0" borderId="0" xfId="0" applyNumberFormat="1" applyFill="1"/>
    <xf numFmtId="43" fontId="0" fillId="36" borderId="11" xfId="0" applyNumberFormat="1" applyFill="1" applyBorder="1"/>
    <xf numFmtId="0" fontId="0" fillId="0" borderId="11" xfId="0" applyFill="1" applyBorder="1" applyAlignment="1">
      <alignment wrapText="1"/>
    </xf>
    <xf numFmtId="165" fontId="16" fillId="0" borderId="11" xfId="0" applyNumberFormat="1" applyFont="1" applyBorder="1" applyAlignment="1">
      <alignment wrapText="1"/>
    </xf>
    <xf numFmtId="165" fontId="16" fillId="0" borderId="11" xfId="0" applyNumberFormat="1" applyFont="1" applyBorder="1"/>
    <xf numFmtId="165" fontId="16" fillId="0" borderId="11" xfId="0" applyNumberFormat="1" applyFont="1" applyBorder="1" applyAlignment="1"/>
    <xf numFmtId="165" fontId="0" fillId="0" borderId="11" xfId="0" applyNumberFormat="1" applyBorder="1"/>
    <xf numFmtId="43" fontId="0" fillId="37" borderId="11" xfId="0" applyNumberFormat="1" applyFill="1" applyBorder="1"/>
    <xf numFmtId="43" fontId="0" fillId="38" borderId="11" xfId="0" applyNumberFormat="1" applyFill="1" applyBorder="1"/>
    <xf numFmtId="9" fontId="0" fillId="0" borderId="0" xfId="0" applyNumberFormat="1"/>
    <xf numFmtId="0" fontId="0" fillId="37" borderId="11" xfId="0" applyFill="1" applyBorder="1"/>
    <xf numFmtId="0" fontId="18" fillId="0" borderId="0" xfId="0" applyFont="1" applyBorder="1"/>
    <xf numFmtId="43" fontId="0" fillId="33" borderId="11" xfId="0" applyNumberFormat="1" applyFill="1" applyBorder="1"/>
    <xf numFmtId="43" fontId="28" fillId="38" borderId="11" xfId="0" applyNumberFormat="1" applyFont="1" applyFill="1" applyBorder="1"/>
    <xf numFmtId="166" fontId="0" fillId="38" borderId="11" xfId="0" applyNumberFormat="1" applyFill="1" applyBorder="1"/>
    <xf numFmtId="43" fontId="22" fillId="0" borderId="0" xfId="0" applyNumberFormat="1" applyFont="1" applyFill="1"/>
    <xf numFmtId="165" fontId="0" fillId="33" borderId="58" xfId="0" applyNumberFormat="1" applyFill="1" applyBorder="1"/>
    <xf numFmtId="165" fontId="0" fillId="33" borderId="0" xfId="0" applyNumberFormat="1" applyFill="1" applyBorder="1"/>
    <xf numFmtId="166" fontId="0" fillId="33" borderId="11" xfId="0" applyNumberFormat="1" applyFill="1" applyBorder="1"/>
    <xf numFmtId="0" fontId="20" fillId="0" borderId="11" xfId="0" applyFont="1" applyBorder="1" applyAlignment="1">
      <alignment horizontal="center" vertical="top"/>
    </xf>
    <xf numFmtId="43" fontId="20" fillId="0" borderId="11" xfId="0" applyNumberFormat="1" applyFont="1" applyBorder="1" applyAlignment="1">
      <alignment horizontal="center" vertical="top"/>
    </xf>
    <xf numFmtId="43" fontId="20" fillId="0" borderId="11" xfId="0" applyNumberFormat="1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3" fontId="20" fillId="0" borderId="12" xfId="0" applyNumberFormat="1" applyFont="1" applyBorder="1" applyAlignment="1">
      <alignment horizontal="center" vertical="top" wrapText="1"/>
    </xf>
    <xf numFmtId="43" fontId="20" fillId="0" borderId="30" xfId="0" applyNumberFormat="1" applyFont="1" applyBorder="1" applyAlignment="1">
      <alignment horizontal="center" vertical="top" wrapText="1"/>
    </xf>
    <xf numFmtId="0" fontId="20" fillId="36" borderId="11" xfId="0" applyFont="1" applyFill="1" applyBorder="1" applyAlignment="1">
      <alignment horizontal="center" vertical="top" wrapText="1"/>
    </xf>
    <xf numFmtId="43" fontId="20" fillId="36" borderId="12" xfId="0" applyNumberFormat="1" applyFont="1" applyFill="1" applyBorder="1" applyAlignment="1">
      <alignment horizontal="center" vertical="top" wrapText="1"/>
    </xf>
    <xf numFmtId="43" fontId="20" fillId="36" borderId="30" xfId="0" applyNumberFormat="1" applyFont="1" applyFill="1" applyBorder="1" applyAlignment="1">
      <alignment horizontal="center" vertical="top" wrapText="1"/>
    </xf>
    <xf numFmtId="0" fontId="30" fillId="0" borderId="0" xfId="0" applyFont="1" applyAlignment="1">
      <alignment horizontal="center" vertical="center"/>
    </xf>
    <xf numFmtId="166" fontId="27" fillId="0" borderId="41" xfId="0" applyNumberFormat="1" applyFont="1" applyFill="1" applyBorder="1" applyAlignment="1">
      <alignment horizontal="center" wrapText="1"/>
    </xf>
    <xf numFmtId="166" fontId="27" fillId="0" borderId="43" xfId="0" applyNumberFormat="1" applyFont="1" applyFill="1" applyBorder="1" applyAlignment="1">
      <alignment horizontal="center" wrapText="1"/>
    </xf>
    <xf numFmtId="49" fontId="27" fillId="0" borderId="42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4</xdr:row>
      <xdr:rowOff>171449</xdr:rowOff>
    </xdr:from>
    <xdr:to>
      <xdr:col>5</xdr:col>
      <xdr:colOff>371475</xdr:colOff>
      <xdr:row>9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2085975" y="933449"/>
          <a:ext cx="1333500" cy="914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sqref="A1:J24"/>
    </sheetView>
  </sheetViews>
  <sheetFormatPr defaultRowHeight="14.5" x14ac:dyDescent="0.35"/>
  <cols>
    <col min="1" max="1" width="21.81640625" bestFit="1" customWidth="1"/>
    <col min="2" max="3" width="14.1796875" style="2" bestFit="1" customWidth="1"/>
    <col min="4" max="4" width="16" style="2" bestFit="1" customWidth="1"/>
    <col min="5" max="5" width="14.81640625" customWidth="1"/>
    <col min="6" max="6" width="15" customWidth="1"/>
    <col min="7" max="7" width="13.54296875" bestFit="1" customWidth="1"/>
    <col min="8" max="8" width="15.1796875" customWidth="1"/>
    <col min="9" max="9" width="14.453125" customWidth="1"/>
    <col min="10" max="10" width="13.7265625" customWidth="1"/>
  </cols>
  <sheetData>
    <row r="1" spans="1:10" ht="26.25" customHeight="1" x14ac:dyDescent="0.35">
      <c r="A1" s="246" t="s">
        <v>2567</v>
      </c>
      <c r="B1" s="247" t="s">
        <v>2568</v>
      </c>
      <c r="C1" s="247" t="s">
        <v>2569</v>
      </c>
      <c r="D1" s="247" t="s">
        <v>2570</v>
      </c>
      <c r="E1" s="248" t="s">
        <v>2571</v>
      </c>
      <c r="F1" s="248" t="s">
        <v>2572</v>
      </c>
      <c r="G1" s="248" t="s">
        <v>2573</v>
      </c>
      <c r="H1" s="248" t="s">
        <v>2574</v>
      </c>
      <c r="I1" s="248" t="s">
        <v>2575</v>
      </c>
      <c r="J1" s="248" t="s">
        <v>2576</v>
      </c>
    </row>
    <row r="2" spans="1:10" x14ac:dyDescent="0.35">
      <c r="A2" s="246"/>
      <c r="B2" s="247"/>
      <c r="C2" s="247"/>
      <c r="D2" s="247"/>
      <c r="E2" s="248"/>
      <c r="F2" s="248"/>
      <c r="G2" s="248"/>
      <c r="H2" s="248"/>
      <c r="I2" s="248"/>
      <c r="J2" s="248"/>
    </row>
    <row r="3" spans="1:10" ht="8.25" customHeight="1" x14ac:dyDescent="0.35">
      <c r="A3" s="47"/>
      <c r="B3" s="48"/>
      <c r="C3" s="48"/>
      <c r="D3" s="48"/>
      <c r="E3" s="47"/>
      <c r="F3" s="47"/>
      <c r="G3" s="47"/>
      <c r="H3" s="47"/>
    </row>
    <row r="4" spans="1:10" x14ac:dyDescent="0.35">
      <c r="A4" s="51" t="str">
        <f>+'Performance old'!B3</f>
        <v>COUNCIL GENERAL</v>
      </c>
      <c r="B4" s="49">
        <f>+'Performance old'!E20</f>
        <v>-5499540</v>
      </c>
      <c r="C4" s="49">
        <f>+'Performance old'!F20</f>
        <v>-10742600.739999998</v>
      </c>
      <c r="D4" s="49">
        <f>+'Performance old'!G20</f>
        <v>-18415886.982857145</v>
      </c>
      <c r="E4" s="49">
        <f>+'Performance old'!E68</f>
        <v>2432155</v>
      </c>
      <c r="F4" s="49">
        <f>+'Performance old'!F68</f>
        <v>6507844.4200000009</v>
      </c>
      <c r="G4" s="49">
        <f>+'Performance old'!G68</f>
        <v>11156304.720000001</v>
      </c>
      <c r="H4" s="49">
        <f>+B4+E4</f>
        <v>-3067385</v>
      </c>
      <c r="I4" s="49">
        <f>+C4+F4</f>
        <v>-4234756.3199999975</v>
      </c>
      <c r="J4" s="49">
        <f>+D4+G4</f>
        <v>-7259582.2628571447</v>
      </c>
    </row>
    <row r="5" spans="1:10" x14ac:dyDescent="0.35">
      <c r="A5" s="51" t="str">
        <f>+'Performance old'!B73</f>
        <v>FINANCE</v>
      </c>
      <c r="B5" s="49">
        <f>+'Performance old'!E109</f>
        <v>-14018656</v>
      </c>
      <c r="C5" s="49">
        <f>+'Performance old'!F109</f>
        <v>-15444042.98</v>
      </c>
      <c r="D5" s="49">
        <f>+'Performance old'!G109</f>
        <v>-26475502.251428571</v>
      </c>
      <c r="E5" s="49">
        <f>+'Performance old'!E164</f>
        <v>14609503</v>
      </c>
      <c r="F5" s="49">
        <f>+'Performance old'!F164</f>
        <v>12169672.52</v>
      </c>
      <c r="G5" s="49">
        <f>+'Performance old'!G164</f>
        <v>20862295.748571426</v>
      </c>
      <c r="H5" s="49">
        <f t="shared" ref="H5:H22" si="0">+B5+E5</f>
        <v>590847</v>
      </c>
      <c r="I5" s="49">
        <f t="shared" ref="I5:I22" si="1">+C5+F5</f>
        <v>-3274370.4600000009</v>
      </c>
      <c r="J5" s="49">
        <f t="shared" ref="J5:J22" si="2">+D5+G5</f>
        <v>-5613206.5028571449</v>
      </c>
    </row>
    <row r="6" spans="1:10" x14ac:dyDescent="0.35">
      <c r="A6" s="51" t="str">
        <f>+'Performance old'!B169</f>
        <v>RATES</v>
      </c>
      <c r="B6" s="49">
        <f>+'Performance old'!E181</f>
        <v>-5140880</v>
      </c>
      <c r="C6" s="49">
        <f>+'Performance old'!F181</f>
        <v>-4867843.76</v>
      </c>
      <c r="D6" s="49">
        <f>+'Performance old'!G181</f>
        <v>-8344875.0171428584</v>
      </c>
      <c r="E6" s="49">
        <f>+'Performance old'!E194</f>
        <v>1078000</v>
      </c>
      <c r="F6" s="49">
        <f>+'Performance old'!F194</f>
        <v>0</v>
      </c>
      <c r="G6" s="49">
        <f>+'Performance old'!G194</f>
        <v>0</v>
      </c>
      <c r="H6" s="49">
        <f t="shared" si="0"/>
        <v>-4062880</v>
      </c>
      <c r="I6" s="49">
        <f t="shared" si="1"/>
        <v>-4867843.76</v>
      </c>
      <c r="J6" s="49">
        <f t="shared" si="2"/>
        <v>-8344875.0171428584</v>
      </c>
    </row>
    <row r="7" spans="1:10" x14ac:dyDescent="0.35">
      <c r="A7" s="51" t="str">
        <f>+'Performance old'!B199</f>
        <v>CORPORATE SERVICES</v>
      </c>
      <c r="B7" s="49">
        <f>+'Performance old'!E206</f>
        <v>-1000</v>
      </c>
      <c r="C7" s="49">
        <f>+'Performance old'!F206</f>
        <v>0</v>
      </c>
      <c r="D7" s="49">
        <f>+'Performance old'!G206</f>
        <v>0</v>
      </c>
      <c r="E7" s="49">
        <f>+'Performance old'!E247</f>
        <v>4761425</v>
      </c>
      <c r="F7" s="49">
        <f>+'Performance old'!F247</f>
        <v>2667171.77</v>
      </c>
      <c r="G7" s="49">
        <f>+'Performance old'!G247</f>
        <v>4572294.4628571421</v>
      </c>
      <c r="H7" s="49">
        <f t="shared" si="0"/>
        <v>4760425</v>
      </c>
      <c r="I7" s="49">
        <f t="shared" si="1"/>
        <v>2667171.77</v>
      </c>
      <c r="J7" s="49">
        <f t="shared" si="2"/>
        <v>4572294.4628571421</v>
      </c>
    </row>
    <row r="8" spans="1:10" x14ac:dyDescent="0.35">
      <c r="A8" s="51" t="str">
        <f>+'Performance old'!B252</f>
        <v>PROJEKEENHEID</v>
      </c>
      <c r="B8" s="49">
        <f>+'Performance old'!E256</f>
        <v>0</v>
      </c>
      <c r="C8" s="49">
        <f>+'Performance old'!F256</f>
        <v>-285</v>
      </c>
      <c r="D8" s="49">
        <f>+'Performance old'!G256</f>
        <v>-488.57142857142856</v>
      </c>
      <c r="E8" s="49">
        <f>+'Performance old'!E267</f>
        <v>0</v>
      </c>
      <c r="F8" s="49">
        <f>+'Performance old'!F267</f>
        <v>0</v>
      </c>
      <c r="G8" s="49">
        <f>+'Performance old'!G267</f>
        <v>0</v>
      </c>
      <c r="H8" s="49">
        <f t="shared" si="0"/>
        <v>0</v>
      </c>
      <c r="I8" s="49">
        <f t="shared" si="1"/>
        <v>-285</v>
      </c>
      <c r="J8" s="49">
        <f t="shared" si="2"/>
        <v>-488.57142857142856</v>
      </c>
    </row>
    <row r="9" spans="1:10" x14ac:dyDescent="0.35">
      <c r="A9" s="51" t="str">
        <f>+'Performance old'!B272</f>
        <v>LIBRARIES</v>
      </c>
      <c r="B9" s="49">
        <f>+'Performance old'!E280</f>
        <v>-721006</v>
      </c>
      <c r="C9" s="49">
        <f>+'Performance old'!F280</f>
        <v>-3358.7</v>
      </c>
      <c r="D9" s="49">
        <f>+'Performance old'!G280</f>
        <v>-5757.7714285714283</v>
      </c>
      <c r="E9" s="49">
        <f>+'Performance old'!E307</f>
        <v>721005</v>
      </c>
      <c r="F9" s="49">
        <f>+'Performance old'!F307</f>
        <v>52155.54</v>
      </c>
      <c r="G9" s="49">
        <f>+'Performance old'!G307</f>
        <v>89409.497142857144</v>
      </c>
      <c r="H9" s="49">
        <f t="shared" si="0"/>
        <v>-1</v>
      </c>
      <c r="I9" s="49">
        <f t="shared" si="1"/>
        <v>48796.840000000004</v>
      </c>
      <c r="J9" s="49">
        <f t="shared" si="2"/>
        <v>83651.725714285712</v>
      </c>
    </row>
    <row r="10" spans="1:10" x14ac:dyDescent="0.35">
      <c r="A10" s="51" t="str">
        <f>+'Performance old'!B312</f>
        <v>COMMONAGE</v>
      </c>
      <c r="B10" s="49">
        <f>+'Performance old'!E317</f>
        <v>-275000</v>
      </c>
      <c r="C10" s="49">
        <f>+'Performance old'!F317</f>
        <v>-216169.75</v>
      </c>
      <c r="D10" s="49">
        <f>+'Performance old'!G317</f>
        <v>-370576.71428571432</v>
      </c>
      <c r="E10" s="49">
        <f>+'Performance old'!E335</f>
        <v>52000</v>
      </c>
      <c r="F10" s="49">
        <f>+'Performance old'!F335</f>
        <v>66204.91</v>
      </c>
      <c r="G10" s="49">
        <f>+'Performance old'!G335</f>
        <v>113494.13142857143</v>
      </c>
      <c r="H10" s="49">
        <f t="shared" si="0"/>
        <v>-223000</v>
      </c>
      <c r="I10" s="49">
        <f t="shared" si="1"/>
        <v>-149964.84</v>
      </c>
      <c r="J10" s="49">
        <f t="shared" si="2"/>
        <v>-257082.5828571429</v>
      </c>
    </row>
    <row r="11" spans="1:10" x14ac:dyDescent="0.35">
      <c r="A11" s="51" t="str">
        <f>+'Performance old'!B340</f>
        <v>TOWN HALL &amp; BUILDINGS</v>
      </c>
      <c r="B11" s="49">
        <f>+'Performance old'!E346</f>
        <v>-162500</v>
      </c>
      <c r="C11" s="49">
        <f>+'Performance old'!F346</f>
        <v>-108054.93</v>
      </c>
      <c r="D11" s="49">
        <f>+'Performance old'!G346</f>
        <v>-185237.02285714287</v>
      </c>
      <c r="E11" s="49">
        <f>+'Performance old'!E364</f>
        <v>527000</v>
      </c>
      <c r="F11" s="49">
        <f>+'Performance old'!F364</f>
        <v>164191.07</v>
      </c>
      <c r="G11" s="49">
        <f>+'Performance old'!G364</f>
        <v>281470.40571428573</v>
      </c>
      <c r="H11" s="49">
        <f t="shared" si="0"/>
        <v>364500</v>
      </c>
      <c r="I11" s="49">
        <f t="shared" si="1"/>
        <v>56136.140000000014</v>
      </c>
      <c r="J11" s="49">
        <f t="shared" si="2"/>
        <v>96233.38285714286</v>
      </c>
    </row>
    <row r="12" spans="1:10" x14ac:dyDescent="0.35">
      <c r="A12" s="51" t="str">
        <f>+'Performance old'!B369</f>
        <v>TELEVISION</v>
      </c>
      <c r="B12" s="49">
        <f>+'Performance old'!E372</f>
        <v>0</v>
      </c>
      <c r="C12" s="49">
        <f>+'Performance old'!F372</f>
        <v>0</v>
      </c>
      <c r="D12" s="49">
        <f>+'Performance old'!G372</f>
        <v>0</v>
      </c>
      <c r="E12" s="49">
        <f>+'Performance old'!E385</f>
        <v>1500</v>
      </c>
      <c r="F12" s="49">
        <f>+'Performance old'!F385</f>
        <v>0</v>
      </c>
      <c r="G12" s="49">
        <f>+'Performance old'!G385</f>
        <v>0</v>
      </c>
      <c r="H12" s="49">
        <f t="shared" si="0"/>
        <v>1500</v>
      </c>
      <c r="I12" s="49">
        <f t="shared" si="1"/>
        <v>0</v>
      </c>
      <c r="J12" s="49">
        <f t="shared" si="2"/>
        <v>0</v>
      </c>
    </row>
    <row r="13" spans="1:10" x14ac:dyDescent="0.35">
      <c r="A13" s="51" t="str">
        <f>+'Performance old'!B390</f>
        <v>CEMETERIES</v>
      </c>
      <c r="B13" s="49">
        <f>+'Performance old'!E395</f>
        <v>-5500</v>
      </c>
      <c r="C13" s="49">
        <f>+'Performance old'!F395</f>
        <v>-4302</v>
      </c>
      <c r="D13" s="49">
        <f>+'Performance old'!G395</f>
        <v>-7374.8571428571431</v>
      </c>
      <c r="E13" s="49">
        <f>+'Performance old'!E418</f>
        <v>7500</v>
      </c>
      <c r="F13" s="49">
        <f>+'Performance old'!F418</f>
        <v>80578.05</v>
      </c>
      <c r="G13" s="49">
        <f>+'Performance old'!G418</f>
        <v>138133.80000000002</v>
      </c>
      <c r="H13" s="49">
        <f t="shared" si="0"/>
        <v>2000</v>
      </c>
      <c r="I13" s="49">
        <f t="shared" si="1"/>
        <v>76276.05</v>
      </c>
      <c r="J13" s="49">
        <f t="shared" si="2"/>
        <v>130758.94285714287</v>
      </c>
    </row>
    <row r="14" spans="1:10" x14ac:dyDescent="0.35">
      <c r="A14" s="51" t="str">
        <f>+'Performance old'!B423</f>
        <v>PARKS &amp; RECREATION</v>
      </c>
      <c r="B14" s="49">
        <f>+'Performance old'!E430</f>
        <v>-24000</v>
      </c>
      <c r="C14" s="49">
        <f>+'Performance old'!F430</f>
        <v>-21553.200000000001</v>
      </c>
      <c r="D14" s="49">
        <f>+'Performance old'!G430</f>
        <v>-36948.342857142852</v>
      </c>
      <c r="E14" s="49">
        <f>+'Performance old'!E461</f>
        <v>860340</v>
      </c>
      <c r="F14" s="49">
        <f>+'Performance old'!F461</f>
        <v>775989.00999999989</v>
      </c>
      <c r="G14" s="49">
        <f>+'Performance old'!G461</f>
        <v>1330266.8742857145</v>
      </c>
      <c r="H14" s="49">
        <f t="shared" si="0"/>
        <v>836340</v>
      </c>
      <c r="I14" s="49">
        <f t="shared" si="1"/>
        <v>754435.80999999994</v>
      </c>
      <c r="J14" s="49">
        <f t="shared" si="2"/>
        <v>1293318.5314285716</v>
      </c>
    </row>
    <row r="15" spans="1:10" x14ac:dyDescent="0.35">
      <c r="A15" s="51" t="str">
        <f>+'Performance old'!B466</f>
        <v>HEALTH</v>
      </c>
      <c r="B15" s="49">
        <f>+'Performance old'!E471</f>
        <v>0</v>
      </c>
      <c r="C15" s="49">
        <f>+'Performance old'!F471</f>
        <v>0</v>
      </c>
      <c r="D15" s="49">
        <f>+'Performance old'!G471</f>
        <v>0</v>
      </c>
      <c r="E15" s="49">
        <f>+'Performance old'!E488</f>
        <v>30000</v>
      </c>
      <c r="F15" s="49">
        <f>+'Performance old'!F488</f>
        <v>75056</v>
      </c>
      <c r="G15" s="49">
        <f>+'Performance old'!G488</f>
        <v>128667.42857142858</v>
      </c>
      <c r="H15" s="49">
        <f t="shared" si="0"/>
        <v>30000</v>
      </c>
      <c r="I15" s="49">
        <f t="shared" si="1"/>
        <v>75056</v>
      </c>
      <c r="J15" s="49">
        <f t="shared" si="2"/>
        <v>128667.42857142858</v>
      </c>
    </row>
    <row r="16" spans="1:10" x14ac:dyDescent="0.35">
      <c r="A16" s="51" t="str">
        <f>+'Performance old'!B493</f>
        <v>ECONOMIC DEVELOPMENT</v>
      </c>
      <c r="B16" s="49">
        <f>+'Performance old'!E502</f>
        <v>0</v>
      </c>
      <c r="C16" s="49">
        <f>+'Performance old'!F502</f>
        <v>-249.1</v>
      </c>
      <c r="D16" s="49">
        <f>+'Performance old'!G502</f>
        <v>-427.02857142857135</v>
      </c>
      <c r="E16" s="49">
        <f>+'Performance old'!E540</f>
        <v>75000</v>
      </c>
      <c r="F16" s="49">
        <f>+'Performance old'!F540</f>
        <v>17033.7</v>
      </c>
      <c r="G16" s="49">
        <f>+'Performance old'!G540</f>
        <v>29200.628571428573</v>
      </c>
      <c r="H16" s="49">
        <f t="shared" si="0"/>
        <v>75000</v>
      </c>
      <c r="I16" s="49">
        <f t="shared" si="1"/>
        <v>16784.600000000002</v>
      </c>
      <c r="J16" s="49">
        <f t="shared" si="2"/>
        <v>28773.600000000002</v>
      </c>
    </row>
    <row r="17" spans="1:10" x14ac:dyDescent="0.35">
      <c r="A17" s="51" t="str">
        <f>+'Performance old'!B545</f>
        <v>STREETS &amp; PUBLIC WORKS</v>
      </c>
      <c r="B17" s="49">
        <f>+'Performance old'!E549</f>
        <v>0</v>
      </c>
      <c r="C17" s="49">
        <f>+'Performance old'!F549</f>
        <v>0</v>
      </c>
      <c r="D17" s="49">
        <f>+'Performance old'!G549</f>
        <v>0</v>
      </c>
      <c r="E17" s="49">
        <f>+'Performance old'!E577</f>
        <v>11544714</v>
      </c>
      <c r="F17" s="49">
        <f>+'Performance old'!F577</f>
        <v>1307247.0899999996</v>
      </c>
      <c r="G17" s="49">
        <f>+'Performance old'!G577</f>
        <v>2240995.0114285713</v>
      </c>
      <c r="H17" s="49">
        <f t="shared" si="0"/>
        <v>11544714</v>
      </c>
      <c r="I17" s="49">
        <f t="shared" si="1"/>
        <v>1307247.0899999996</v>
      </c>
      <c r="J17" s="49">
        <f t="shared" si="2"/>
        <v>2240995.0114285713</v>
      </c>
    </row>
    <row r="18" spans="1:10" x14ac:dyDescent="0.35">
      <c r="A18" s="51" t="str">
        <f>+'Performance old'!B582</f>
        <v>CIVIL ELECTRO TECHNICAL</v>
      </c>
      <c r="B18" s="49">
        <f>+'Performance old'!E585</f>
        <v>0</v>
      </c>
      <c r="C18" s="49">
        <f>+'Performance old'!F585</f>
        <v>0</v>
      </c>
      <c r="D18" s="49">
        <f>+'Performance old'!G585</f>
        <v>0</v>
      </c>
      <c r="E18" s="49">
        <f>+'Performance old'!E596</f>
        <v>75000</v>
      </c>
      <c r="F18" s="49">
        <f>+'Performance old'!F596</f>
        <v>59335.68</v>
      </c>
      <c r="G18" s="49">
        <f>+'Performance old'!G596</f>
        <v>101718.30857142856</v>
      </c>
      <c r="H18" s="49">
        <f t="shared" si="0"/>
        <v>75000</v>
      </c>
      <c r="I18" s="49">
        <f t="shared" si="1"/>
        <v>59335.68</v>
      </c>
      <c r="J18" s="49">
        <f t="shared" si="2"/>
        <v>101718.30857142856</v>
      </c>
    </row>
    <row r="19" spans="1:10" x14ac:dyDescent="0.35">
      <c r="A19" s="51" t="str">
        <f>+'Performance old'!B601</f>
        <v>STREETLIGHTS</v>
      </c>
      <c r="B19" s="49">
        <f>+'Performance old'!E603</f>
        <v>0</v>
      </c>
      <c r="C19" s="49">
        <f>+'Performance old'!F603</f>
        <v>0</v>
      </c>
      <c r="D19" s="49">
        <f>+'Performance old'!G603</f>
        <v>0</v>
      </c>
      <c r="E19" s="49">
        <f>+'Performance old'!E617</f>
        <v>20000</v>
      </c>
      <c r="F19" s="49">
        <f>+'Performance old'!F617</f>
        <v>4927.95</v>
      </c>
      <c r="G19" s="49">
        <f>+'Performance old'!G617</f>
        <v>8447.9142857142851</v>
      </c>
      <c r="H19" s="49">
        <f t="shared" si="0"/>
        <v>20000</v>
      </c>
      <c r="I19" s="49">
        <f t="shared" si="1"/>
        <v>4927.95</v>
      </c>
      <c r="J19" s="49">
        <f t="shared" si="2"/>
        <v>8447.9142857142851</v>
      </c>
    </row>
    <row r="20" spans="1:10" x14ac:dyDescent="0.35">
      <c r="A20" s="51" t="str">
        <f>+'Performance old'!B622</f>
        <v>ELECTRICITY</v>
      </c>
      <c r="B20" s="49">
        <f>+'Performance old'!E633</f>
        <v>-10679496</v>
      </c>
      <c r="C20" s="49">
        <f>+'Performance old'!F633</f>
        <v>-5021136.76</v>
      </c>
      <c r="D20" s="49">
        <f>+'Performance old'!G633</f>
        <v>-8607663.0171428565</v>
      </c>
      <c r="E20" s="49">
        <f>+'Performance old'!E672</f>
        <v>11842409</v>
      </c>
      <c r="F20" s="49">
        <f>+'Performance old'!F672</f>
        <v>4390762.38</v>
      </c>
      <c r="G20" s="49">
        <f>+'Performance old'!G672</f>
        <v>7527021.2228571437</v>
      </c>
      <c r="H20" s="49">
        <f t="shared" si="0"/>
        <v>1162913</v>
      </c>
      <c r="I20" s="49">
        <f t="shared" si="1"/>
        <v>-630374.37999999989</v>
      </c>
      <c r="J20" s="49">
        <f t="shared" si="2"/>
        <v>-1080641.7942857128</v>
      </c>
    </row>
    <row r="21" spans="1:10" x14ac:dyDescent="0.35">
      <c r="A21" s="51" t="str">
        <f>+'Performance old'!B677</f>
        <v>WATER</v>
      </c>
      <c r="B21" s="49">
        <f>+'Performance old'!E686</f>
        <v>-5500000</v>
      </c>
      <c r="C21" s="49">
        <f>+'Performance old'!F686</f>
        <v>-1367374.76</v>
      </c>
      <c r="D21" s="49">
        <f>+'Performance old'!G686</f>
        <v>-2344071.017142857</v>
      </c>
      <c r="E21" s="49">
        <f>+'Performance old'!E720</f>
        <v>6584378</v>
      </c>
      <c r="F21" s="49">
        <f>+'Performance old'!F720</f>
        <v>789004.08</v>
      </c>
      <c r="G21" s="49">
        <f>+'Performance old'!G720</f>
        <v>1352578.422857143</v>
      </c>
      <c r="H21" s="49">
        <f t="shared" si="0"/>
        <v>1084378</v>
      </c>
      <c r="I21" s="49">
        <f t="shared" si="1"/>
        <v>-578370.68000000005</v>
      </c>
      <c r="J21" s="49">
        <f t="shared" si="2"/>
        <v>-991492.59428571397</v>
      </c>
    </row>
    <row r="22" spans="1:10" x14ac:dyDescent="0.35">
      <c r="A22" s="51" t="str">
        <f>+'Performance old'!B725</f>
        <v>SANITATION</v>
      </c>
      <c r="B22" s="49">
        <f>+'Performance old'!E736</f>
        <v>-7996767</v>
      </c>
      <c r="C22" s="49">
        <f>+'Performance old'!F736</f>
        <v>-2182284.9200000004</v>
      </c>
      <c r="D22" s="49">
        <f>+'Performance old'!G736</f>
        <v>-3741059.8628571425</v>
      </c>
      <c r="E22" s="49">
        <f>+'Performance old'!E772</f>
        <v>8418255</v>
      </c>
      <c r="F22" s="49">
        <f>+'Performance old'!F772</f>
        <v>2237882.0499999993</v>
      </c>
      <c r="G22" s="49">
        <f>+'Performance old'!G772</f>
        <v>3836369.228571428</v>
      </c>
      <c r="H22" s="49">
        <f t="shared" si="0"/>
        <v>421488</v>
      </c>
      <c r="I22" s="49">
        <f t="shared" si="1"/>
        <v>55597.129999998957</v>
      </c>
      <c r="J22" s="49">
        <f t="shared" si="2"/>
        <v>95309.365714285523</v>
      </c>
    </row>
    <row r="23" spans="1:10" x14ac:dyDescent="0.35">
      <c r="A23" s="47"/>
      <c r="B23" s="48"/>
      <c r="C23" s="48"/>
      <c r="D23" s="48"/>
      <c r="E23" s="47"/>
      <c r="F23" s="47"/>
      <c r="G23" s="47"/>
      <c r="H23" s="47"/>
    </row>
    <row r="24" spans="1:10" ht="15" thickBot="1" x14ac:dyDescent="0.4">
      <c r="A24" s="47"/>
      <c r="B24" s="50">
        <f>SUM(B4:B23)</f>
        <v>-50024345</v>
      </c>
      <c r="C24" s="50">
        <f t="shared" ref="C24:G24" si="3">SUM(C4:C23)</f>
        <v>-39979256.599999994</v>
      </c>
      <c r="D24" s="50">
        <f t="shared" si="3"/>
        <v>-68535868.45714286</v>
      </c>
      <c r="E24" s="50">
        <f t="shared" si="3"/>
        <v>63640184</v>
      </c>
      <c r="F24" s="50">
        <f t="shared" si="3"/>
        <v>31365056.219999999</v>
      </c>
      <c r="G24" s="50">
        <f t="shared" si="3"/>
        <v>53768667.805714272</v>
      </c>
      <c r="H24" s="50">
        <f t="shared" ref="H24" si="4">SUM(H4:H23)</f>
        <v>13615839</v>
      </c>
      <c r="I24" s="50">
        <f t="shared" ref="I24" si="5">SUM(I4:I23)</f>
        <v>-8614200.379999999</v>
      </c>
      <c r="J24" s="50">
        <f t="shared" ref="J24" si="6">SUM(J4:J23)</f>
        <v>-14767200.651428578</v>
      </c>
    </row>
    <row r="25" spans="1:10" ht="15" thickTop="1" x14ac:dyDescent="0.35">
      <c r="E25" s="2"/>
    </row>
  </sheetData>
  <mergeCells count="10"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X27"/>
  <sheetViews>
    <sheetView zoomScale="62" zoomScaleNormal="62" workbookViewId="0">
      <selection activeCell="V24" sqref="V24"/>
    </sheetView>
  </sheetViews>
  <sheetFormatPr defaultRowHeight="14.5" x14ac:dyDescent="0.35"/>
  <cols>
    <col min="1" max="1" width="28.26953125" customWidth="1"/>
    <col min="2" max="2" width="18.54296875" style="191" customWidth="1"/>
    <col min="3" max="3" width="18" style="191" customWidth="1"/>
    <col min="4" max="4" width="16.81640625" style="191" customWidth="1"/>
    <col min="5" max="5" width="3.26953125" customWidth="1"/>
    <col min="6" max="6" width="14" hidden="1" customWidth="1"/>
    <col min="7" max="7" width="16.54296875" hidden="1" customWidth="1"/>
    <col min="8" max="8" width="16.1796875" hidden="1" customWidth="1"/>
    <col min="9" max="9" width="3.453125" hidden="1" customWidth="1"/>
    <col min="10" max="10" width="18" hidden="1" customWidth="1"/>
    <col min="11" max="11" width="15.54296875" hidden="1" customWidth="1"/>
    <col min="12" max="12" width="16.453125" hidden="1" customWidth="1"/>
    <col min="13" max="13" width="3.54296875" customWidth="1"/>
    <col min="14" max="14" width="17.1796875" customWidth="1"/>
    <col min="15" max="15" width="18.453125" customWidth="1"/>
    <col min="16" max="16" width="17.1796875" customWidth="1"/>
    <col min="17" max="17" width="3.81640625" customWidth="1"/>
    <col min="18" max="18" width="17.54296875" customWidth="1"/>
    <col min="19" max="20" width="17" customWidth="1"/>
    <col min="21" max="21" width="4.1796875" customWidth="1"/>
    <col min="22" max="22" width="19.26953125" customWidth="1"/>
    <col min="23" max="23" width="18" customWidth="1"/>
    <col min="24" max="24" width="17.54296875" customWidth="1"/>
  </cols>
  <sheetData>
    <row r="1" spans="1:24" ht="93.75" customHeight="1" x14ac:dyDescent="0.35">
      <c r="A1" s="256" t="s">
        <v>3501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</row>
    <row r="2" spans="1:24" ht="29" x14ac:dyDescent="0.35">
      <c r="A2" s="5"/>
      <c r="B2" s="230" t="s">
        <v>3413</v>
      </c>
      <c r="C2" s="230" t="s">
        <v>3413</v>
      </c>
      <c r="D2" s="230" t="s">
        <v>3409</v>
      </c>
      <c r="F2" s="192" t="s">
        <v>3412</v>
      </c>
      <c r="G2" s="193" t="s">
        <v>3412</v>
      </c>
      <c r="H2" s="194" t="s">
        <v>3409</v>
      </c>
      <c r="J2" s="192" t="s">
        <v>3411</v>
      </c>
      <c r="K2" s="193" t="s">
        <v>3411</v>
      </c>
      <c r="L2" s="194" t="s">
        <v>3409</v>
      </c>
      <c r="N2" s="230" t="s">
        <v>3414</v>
      </c>
      <c r="O2" s="230" t="s">
        <v>3414</v>
      </c>
      <c r="P2" s="230" t="s">
        <v>3409</v>
      </c>
      <c r="R2" s="230" t="s">
        <v>3461</v>
      </c>
      <c r="S2" s="230" t="s">
        <v>3461</v>
      </c>
      <c r="T2" s="230" t="s">
        <v>3409</v>
      </c>
      <c r="V2" s="230" t="s">
        <v>3500</v>
      </c>
      <c r="W2" s="230" t="s">
        <v>3500</v>
      </c>
      <c r="X2" s="230" t="s">
        <v>3409</v>
      </c>
    </row>
    <row r="3" spans="1:24" x14ac:dyDescent="0.35">
      <c r="A3" s="205" t="s">
        <v>3403</v>
      </c>
      <c r="B3" s="231" t="s">
        <v>3408</v>
      </c>
      <c r="C3" s="232" t="s">
        <v>3410</v>
      </c>
      <c r="D3" s="233"/>
      <c r="F3" s="206" t="s">
        <v>3408</v>
      </c>
      <c r="G3" s="207" t="s">
        <v>3410</v>
      </c>
      <c r="H3" s="204"/>
      <c r="J3" s="206" t="s">
        <v>3408</v>
      </c>
      <c r="K3" s="207" t="s">
        <v>3410</v>
      </c>
      <c r="L3" s="204"/>
      <c r="N3" s="231" t="s">
        <v>3408</v>
      </c>
      <c r="O3" s="232" t="s">
        <v>3410</v>
      </c>
      <c r="P3" s="233"/>
      <c r="R3" s="231" t="s">
        <v>3408</v>
      </c>
      <c r="S3" s="232" t="s">
        <v>3410</v>
      </c>
      <c r="T3" s="233"/>
      <c r="V3" s="231" t="s">
        <v>3408</v>
      </c>
      <c r="W3" s="232" t="s">
        <v>3410</v>
      </c>
      <c r="X3" s="233"/>
    </row>
    <row r="4" spans="1:24" x14ac:dyDescent="0.35">
      <c r="A4" s="201"/>
      <c r="B4" s="196"/>
      <c r="C4" s="197"/>
      <c r="D4" s="195"/>
      <c r="F4" s="196"/>
      <c r="G4" s="197"/>
      <c r="H4" s="195"/>
      <c r="J4" s="196"/>
      <c r="K4" s="197"/>
      <c r="L4" s="195"/>
      <c r="N4" s="196"/>
      <c r="O4" s="197"/>
      <c r="P4" s="195"/>
      <c r="R4" s="196"/>
      <c r="S4" s="197"/>
      <c r="T4" s="195"/>
      <c r="V4" s="196"/>
      <c r="W4" s="197"/>
      <c r="X4" s="195"/>
    </row>
    <row r="5" spans="1:24" x14ac:dyDescent="0.35">
      <c r="A5" s="201" t="s">
        <v>2588</v>
      </c>
      <c r="B5" s="243">
        <f>+Fin!B$121</f>
        <v>-4741100</v>
      </c>
      <c r="C5" s="197">
        <f>+Fin!B$290</f>
        <v>14611900</v>
      </c>
      <c r="D5" s="195">
        <f>+B5+C5</f>
        <v>9870800</v>
      </c>
      <c r="F5" s="196">
        <f>+Fin!C$121</f>
        <v>-4667100</v>
      </c>
      <c r="G5" s="197">
        <f>+Fin!C$290</f>
        <v>14254900</v>
      </c>
      <c r="H5" s="195">
        <f>+F5+G5</f>
        <v>9587800</v>
      </c>
      <c r="J5" s="196">
        <f>+Fin!D$121</f>
        <v>-4128415.44</v>
      </c>
      <c r="K5" s="197">
        <f>+Fin!D$290</f>
        <v>14102733.069999998</v>
      </c>
      <c r="L5" s="195">
        <f>+J5+K5</f>
        <v>9974317.629999999</v>
      </c>
      <c r="N5" s="243">
        <f>+Fin!E$121</f>
        <v>-4453400</v>
      </c>
      <c r="O5" s="244">
        <f>+Fin!E$290</f>
        <v>15320800</v>
      </c>
      <c r="P5" s="195">
        <f>+N5+O5</f>
        <v>10867400</v>
      </c>
      <c r="R5" s="243">
        <f>+Fin!F$121</f>
        <v>-4715700</v>
      </c>
      <c r="S5" s="244">
        <f>+Fin!F$290</f>
        <v>16162900</v>
      </c>
      <c r="T5" s="195">
        <f>+R5+S5</f>
        <v>11447200</v>
      </c>
      <c r="V5" s="243">
        <f>+Fin!G$121</f>
        <v>-4281800</v>
      </c>
      <c r="W5" s="244">
        <f>+Fin!G$290</f>
        <v>17053800</v>
      </c>
      <c r="X5" s="195">
        <f>+V5+W5</f>
        <v>12772000</v>
      </c>
    </row>
    <row r="6" spans="1:24" x14ac:dyDescent="0.35">
      <c r="A6" s="201" t="s">
        <v>3448</v>
      </c>
      <c r="B6" s="243">
        <f>+CFO!B$121</f>
        <v>0</v>
      </c>
      <c r="C6" s="197">
        <f>+CFO!B$290</f>
        <v>1248600</v>
      </c>
      <c r="D6" s="195">
        <f>+B6+C6</f>
        <v>1248600</v>
      </c>
      <c r="F6" s="196"/>
      <c r="G6" s="197"/>
      <c r="H6" s="195"/>
      <c r="J6" s="196"/>
      <c r="K6" s="197"/>
      <c r="L6" s="195"/>
      <c r="N6" s="243">
        <f>+CFO!E121</f>
        <v>0</v>
      </c>
      <c r="O6" s="244">
        <f>+CFO!E$290</f>
        <v>1274600</v>
      </c>
      <c r="P6" s="195">
        <f t="shared" ref="P6:P8" si="0">+N6+O6</f>
        <v>1274600</v>
      </c>
      <c r="R6" s="243">
        <f>+CFO!F$121</f>
        <v>0</v>
      </c>
      <c r="S6" s="244">
        <f>+CFO!F$290</f>
        <v>1291500</v>
      </c>
      <c r="T6" s="195">
        <f>SUM(R6:S6)</f>
        <v>1291500</v>
      </c>
      <c r="V6" s="243">
        <f>+CFO!G$121</f>
        <v>0</v>
      </c>
      <c r="W6" s="244">
        <f>+CFO!G$290</f>
        <v>1369900</v>
      </c>
      <c r="X6" s="195">
        <f>SUM(V6:W6)</f>
        <v>1369900</v>
      </c>
    </row>
    <row r="7" spans="1:24" x14ac:dyDescent="0.35">
      <c r="A7" s="201" t="s">
        <v>3404</v>
      </c>
      <c r="B7" s="243">
        <f>+Cs!B$121</f>
        <v>-2052300</v>
      </c>
      <c r="C7" s="197">
        <f>+Cs!B$290</f>
        <v>3646000</v>
      </c>
      <c r="D7" s="195">
        <f t="shared" ref="D7:D21" si="1">+B7+C7</f>
        <v>1593700</v>
      </c>
      <c r="F7" s="196">
        <f>+Cs!C$121</f>
        <v>-2051300</v>
      </c>
      <c r="G7" s="197">
        <f>+Cs!C$290</f>
        <v>3311000</v>
      </c>
      <c r="H7" s="195">
        <f t="shared" ref="H7:H21" si="2">+F7+G7</f>
        <v>1259700</v>
      </c>
      <c r="J7" s="196">
        <f>+Cs!D$121</f>
        <v>-2048234</v>
      </c>
      <c r="K7" s="197">
        <f>+Cs!D$290</f>
        <v>3467849.0700000003</v>
      </c>
      <c r="L7" s="195">
        <f t="shared" ref="L7:L21" si="3">+J7+K7</f>
        <v>1419615.0700000003</v>
      </c>
      <c r="N7" s="243">
        <f>+Cs!E$121</f>
        <v>-2439400</v>
      </c>
      <c r="O7" s="244">
        <f>+Cs!E$290</f>
        <v>4143600</v>
      </c>
      <c r="P7" s="195">
        <f t="shared" si="0"/>
        <v>1704200</v>
      </c>
      <c r="R7" s="243">
        <f>+Cs!F$121</f>
        <v>-2638100</v>
      </c>
      <c r="S7" s="244">
        <f>+Cs!F$290</f>
        <v>4183700</v>
      </c>
      <c r="T7" s="195">
        <f t="shared" ref="T7:T21" si="4">+R7+S7</f>
        <v>1545600</v>
      </c>
      <c r="V7" s="243">
        <f>+Cs!G$121</f>
        <v>-2828400</v>
      </c>
      <c r="W7" s="244">
        <f>+Cs!G$290</f>
        <v>3954200</v>
      </c>
      <c r="X7" s="195">
        <f t="shared" ref="X7:X21" si="5">+V7+W7</f>
        <v>1125800</v>
      </c>
    </row>
    <row r="8" spans="1:24" x14ac:dyDescent="0.35">
      <c r="A8" s="201" t="s">
        <v>3449</v>
      </c>
      <c r="B8" s="243">
        <f>+Mayor!B$121</f>
        <v>0</v>
      </c>
      <c r="C8" s="197">
        <f>+Mayor!B$290</f>
        <v>866000</v>
      </c>
      <c r="D8" s="195">
        <f t="shared" ref="D8" si="6">+B8+C8</f>
        <v>866000</v>
      </c>
      <c r="F8" s="196"/>
      <c r="G8" s="197"/>
      <c r="H8" s="195"/>
      <c r="J8" s="196"/>
      <c r="K8" s="197"/>
      <c r="L8" s="195"/>
      <c r="N8" s="243">
        <f>+Mayor!E$121</f>
        <v>0</v>
      </c>
      <c r="O8" s="244">
        <f>+Mayor!E$290</f>
        <v>850500</v>
      </c>
      <c r="P8" s="195">
        <f t="shared" si="0"/>
        <v>850500</v>
      </c>
      <c r="R8" s="243">
        <f>+Mayor!F$121</f>
        <v>0</v>
      </c>
      <c r="S8" s="244">
        <f>+Mayor!F$290</f>
        <v>882800</v>
      </c>
      <c r="T8" s="195">
        <f t="shared" ref="T8" si="7">+R8+S8</f>
        <v>882800</v>
      </c>
      <c r="V8" s="243">
        <f>+Mayor!G$121</f>
        <v>0</v>
      </c>
      <c r="W8" s="244">
        <f>+Mayor!G$290</f>
        <v>916400</v>
      </c>
      <c r="X8" s="195">
        <f t="shared" ref="X8" si="8">+V8+W8</f>
        <v>916400</v>
      </c>
    </row>
    <row r="9" spans="1:24" x14ac:dyDescent="0.35">
      <c r="A9" s="201" t="s">
        <v>2550</v>
      </c>
      <c r="B9" s="243">
        <f>+Rat!B$121</f>
        <v>-9427000</v>
      </c>
      <c r="C9" s="197">
        <f>+Rat!B$290</f>
        <v>768000</v>
      </c>
      <c r="D9" s="195">
        <f t="shared" si="1"/>
        <v>-8659000</v>
      </c>
      <c r="F9" s="196">
        <f>+Rat!C$121</f>
        <v>-9427000</v>
      </c>
      <c r="G9" s="197">
        <f>+Rat!C$290</f>
        <v>768000</v>
      </c>
      <c r="H9" s="195">
        <f t="shared" si="2"/>
        <v>-8659000</v>
      </c>
      <c r="J9" s="196">
        <f>+Rat!D$121</f>
        <v>-9696665.4799999986</v>
      </c>
      <c r="K9" s="197">
        <f>+Rat!D$290</f>
        <v>825457.94</v>
      </c>
      <c r="L9" s="195">
        <f t="shared" si="3"/>
        <v>-8871207.5399999991</v>
      </c>
      <c r="N9" s="243">
        <f>+Rat!E$121</f>
        <v>-10360500</v>
      </c>
      <c r="O9" s="244">
        <f>+Rat!E$290</f>
        <v>1258500</v>
      </c>
      <c r="P9" s="195">
        <f t="shared" ref="P9:P21" si="9">+N9+O9</f>
        <v>-9102000</v>
      </c>
      <c r="R9" s="243">
        <f>+Rat!F$121</f>
        <v>-11003200</v>
      </c>
      <c r="S9" s="244">
        <f>+Rat!F$290</f>
        <v>1313900</v>
      </c>
      <c r="T9" s="195">
        <f t="shared" si="4"/>
        <v>-9689300</v>
      </c>
      <c r="V9" s="243">
        <f>+Rat!G$121</f>
        <v>-11578700</v>
      </c>
      <c r="W9" s="244">
        <f>+Rat!G$290</f>
        <v>1371900</v>
      </c>
      <c r="X9" s="195">
        <f t="shared" si="5"/>
        <v>-10206800</v>
      </c>
    </row>
    <row r="10" spans="1:24" x14ac:dyDescent="0.35">
      <c r="A10" s="201" t="s">
        <v>3405</v>
      </c>
      <c r="B10" s="243">
        <f>+MM!B$121</f>
        <v>-148500</v>
      </c>
      <c r="C10" s="197">
        <f>+MM!B$290</f>
        <v>5592900</v>
      </c>
      <c r="D10" s="195">
        <f t="shared" si="1"/>
        <v>5444400</v>
      </c>
      <c r="F10" s="196">
        <f>+MM!C$121</f>
        <v>-62500</v>
      </c>
      <c r="G10" s="197">
        <f>+MM!C$290</f>
        <v>4992900</v>
      </c>
      <c r="H10" s="195">
        <f t="shared" si="2"/>
        <v>4930400</v>
      </c>
      <c r="J10" s="196">
        <f>+MM!D$121</f>
        <v>-120709</v>
      </c>
      <c r="K10" s="197">
        <f>+MM!D$290</f>
        <v>4708005.07</v>
      </c>
      <c r="L10" s="195">
        <f t="shared" si="3"/>
        <v>4587296.07</v>
      </c>
      <c r="N10" s="243">
        <f>+MM!E$121</f>
        <v>-138200</v>
      </c>
      <c r="O10" s="244">
        <f>+MM!E$290</f>
        <v>5223300</v>
      </c>
      <c r="P10" s="195">
        <f t="shared" si="9"/>
        <v>5085100</v>
      </c>
      <c r="R10" s="243">
        <f>+MM!F$121</f>
        <v>-144800</v>
      </c>
      <c r="S10" s="244">
        <f>+MM!F$290</f>
        <v>5436500</v>
      </c>
      <c r="T10" s="195">
        <f t="shared" si="4"/>
        <v>5291700</v>
      </c>
      <c r="V10" s="243">
        <f>+MM!G$121</f>
        <v>-151900</v>
      </c>
      <c r="W10" s="244">
        <f>+MM!G$290</f>
        <v>5760600</v>
      </c>
      <c r="X10" s="195">
        <f t="shared" si="5"/>
        <v>5608700</v>
      </c>
    </row>
    <row r="11" spans="1:24" x14ac:dyDescent="0.35">
      <c r="A11" s="201" t="s">
        <v>3450</v>
      </c>
      <c r="B11" s="243">
        <f>+MB!B$121</f>
        <v>0</v>
      </c>
      <c r="C11" s="197">
        <f>+MB!B$290</f>
        <v>1244400</v>
      </c>
      <c r="D11" s="195">
        <f t="shared" ref="D11" si="10">+B11+C11</f>
        <v>1244400</v>
      </c>
      <c r="F11" s="196"/>
      <c r="G11" s="197"/>
      <c r="H11" s="195"/>
      <c r="J11" s="196"/>
      <c r="K11" s="197"/>
      <c r="L11" s="195"/>
      <c r="N11" s="243">
        <f>+MB!E$121</f>
        <v>0</v>
      </c>
      <c r="O11" s="244">
        <f>+MB!E$290</f>
        <v>1274600</v>
      </c>
      <c r="P11" s="195">
        <f t="shared" ref="P11" si="11">+N11+O11</f>
        <v>1274600</v>
      </c>
      <c r="R11" s="243">
        <f>+MB!F$121</f>
        <v>0</v>
      </c>
      <c r="S11" s="244">
        <f>+MB!F$290</f>
        <v>1291500</v>
      </c>
      <c r="T11" s="195">
        <f t="shared" ref="T11" si="12">+R11+S11</f>
        <v>1291500</v>
      </c>
      <c r="V11" s="243">
        <f>+MB!G$121</f>
        <v>0</v>
      </c>
      <c r="W11" s="244">
        <f>+MB!G$290</f>
        <v>1369900</v>
      </c>
      <c r="X11" s="195">
        <f t="shared" ref="X11" si="13">+V11+W11</f>
        <v>1369900</v>
      </c>
    </row>
    <row r="12" spans="1:24" x14ac:dyDescent="0.35">
      <c r="A12" s="201" t="s">
        <v>2553</v>
      </c>
      <c r="B12" s="196">
        <f>+Lib!B$121</f>
        <v>-1453700</v>
      </c>
      <c r="C12" s="197">
        <f>+Lib!B$290</f>
        <v>1445900</v>
      </c>
      <c r="D12" s="195">
        <f t="shared" si="1"/>
        <v>-7800</v>
      </c>
      <c r="F12" s="196">
        <f>+Lib!C$121</f>
        <v>-1367700</v>
      </c>
      <c r="G12" s="197">
        <f>+Lib!C$290</f>
        <v>1445900</v>
      </c>
      <c r="H12" s="195">
        <f t="shared" si="2"/>
        <v>78200</v>
      </c>
      <c r="J12" s="196">
        <f>+Lib!D$121</f>
        <v>-1448600</v>
      </c>
      <c r="K12" s="197">
        <f>+Lib!D$290</f>
        <v>1524763.8300000003</v>
      </c>
      <c r="L12" s="195">
        <f t="shared" si="3"/>
        <v>76163.830000000307</v>
      </c>
      <c r="N12" s="243">
        <f>+Lib!E$121</f>
        <v>-1612100</v>
      </c>
      <c r="O12" s="244">
        <f>+Lib!E$290</f>
        <v>1456700</v>
      </c>
      <c r="P12" s="195">
        <f t="shared" si="9"/>
        <v>-155400</v>
      </c>
      <c r="R12" s="243">
        <f>+Lib!F$121</f>
        <v>-1683200</v>
      </c>
      <c r="S12" s="244">
        <f>+Lib!F$290</f>
        <v>1530400</v>
      </c>
      <c r="T12" s="195">
        <f t="shared" si="4"/>
        <v>-152800</v>
      </c>
      <c r="V12" s="243">
        <f>+Lib!G$121</f>
        <v>-1761300</v>
      </c>
      <c r="W12" s="244">
        <f>+Lib!G$290</f>
        <v>1632300</v>
      </c>
      <c r="X12" s="195">
        <f t="shared" si="5"/>
        <v>-129000</v>
      </c>
    </row>
    <row r="13" spans="1:24" x14ac:dyDescent="0.35">
      <c r="A13" s="201" t="s">
        <v>2594</v>
      </c>
      <c r="B13" s="196">
        <f>+Pry!B$121</f>
        <v>-781700</v>
      </c>
      <c r="C13" s="197">
        <f>+Pry!B$289</f>
        <v>1473600</v>
      </c>
      <c r="D13" s="195">
        <f t="shared" si="1"/>
        <v>691900</v>
      </c>
      <c r="F13" s="196">
        <f>+Pry!C$121</f>
        <v>-251700</v>
      </c>
      <c r="G13" s="197">
        <f>+Pry!C$289</f>
        <v>1423600</v>
      </c>
      <c r="H13" s="195">
        <f t="shared" si="2"/>
        <v>1171900</v>
      </c>
      <c r="J13" s="196">
        <f>+Pry!D$121</f>
        <v>-739583.19</v>
      </c>
      <c r="K13" s="197">
        <f>+Pry!D$289</f>
        <v>1088035.54</v>
      </c>
      <c r="L13" s="195">
        <f t="shared" si="3"/>
        <v>348452.35000000009</v>
      </c>
      <c r="N13" s="243">
        <f>+Pry!E$121</f>
        <v>-815600</v>
      </c>
      <c r="O13" s="244">
        <f>+Pry!E$289</f>
        <v>1354600</v>
      </c>
      <c r="P13" s="195">
        <f t="shared" si="9"/>
        <v>539000</v>
      </c>
      <c r="R13" s="243">
        <f>+Pry!F$121</f>
        <v>-715900</v>
      </c>
      <c r="S13" s="244">
        <f>+Pry!F$289</f>
        <v>1300100</v>
      </c>
      <c r="T13" s="195">
        <f t="shared" si="4"/>
        <v>584200</v>
      </c>
      <c r="V13" s="243">
        <f>+Pry!G$121</f>
        <v>-748100</v>
      </c>
      <c r="W13" s="244">
        <f>+Pry!G$289</f>
        <v>1168400</v>
      </c>
      <c r="X13" s="195">
        <f t="shared" si="5"/>
        <v>420300</v>
      </c>
    </row>
    <row r="14" spans="1:24" x14ac:dyDescent="0.35">
      <c r="A14" s="201" t="s">
        <v>3454</v>
      </c>
      <c r="B14" s="196">
        <f>+Hal!B$121</f>
        <v>-24400</v>
      </c>
      <c r="C14" s="197">
        <f>+Hal!B$290</f>
        <v>236600</v>
      </c>
      <c r="D14" s="195">
        <f t="shared" si="1"/>
        <v>212200</v>
      </c>
      <c r="F14" s="196">
        <f>+Hal!C$121</f>
        <v>-24400</v>
      </c>
      <c r="G14" s="197">
        <f>+Hal!C$290</f>
        <v>186600</v>
      </c>
      <c r="H14" s="195">
        <f t="shared" si="2"/>
        <v>162200</v>
      </c>
      <c r="J14" s="196">
        <f>+Hal!D$121</f>
        <v>-22200</v>
      </c>
      <c r="K14" s="197">
        <f>+Hal!D$290</f>
        <v>247231.08999999997</v>
      </c>
      <c r="L14" s="195">
        <f t="shared" si="3"/>
        <v>225031.08999999997</v>
      </c>
      <c r="N14" s="243">
        <f>+Hal!E$121</f>
        <v>-24400</v>
      </c>
      <c r="O14" s="244">
        <f>+Hal!E$290</f>
        <v>166600</v>
      </c>
      <c r="P14" s="195">
        <f t="shared" si="9"/>
        <v>142200</v>
      </c>
      <c r="R14" s="243">
        <f>+Hal!F$121</f>
        <v>-26400</v>
      </c>
      <c r="S14" s="244">
        <f>+Hal!F$290</f>
        <v>186600</v>
      </c>
      <c r="T14" s="195">
        <f t="shared" si="4"/>
        <v>160200</v>
      </c>
      <c r="V14" s="243">
        <f>+Hal!G$121</f>
        <v>-28400</v>
      </c>
      <c r="W14" s="244">
        <f>+Hal!G$290</f>
        <v>197600</v>
      </c>
      <c r="X14" s="195">
        <f t="shared" si="5"/>
        <v>169200</v>
      </c>
    </row>
    <row r="15" spans="1:24" x14ac:dyDescent="0.35">
      <c r="A15" s="201" t="s">
        <v>2557</v>
      </c>
      <c r="B15" s="196">
        <f>+Cem!B$121</f>
        <v>-10100</v>
      </c>
      <c r="C15" s="197">
        <f>+Cem!B$290</f>
        <v>1000</v>
      </c>
      <c r="D15" s="195">
        <f t="shared" si="1"/>
        <v>-9100</v>
      </c>
      <c r="F15" s="196">
        <f>+Cem!C$121</f>
        <v>-10100</v>
      </c>
      <c r="G15" s="197">
        <f>+Cem!C$290</f>
        <v>1000</v>
      </c>
      <c r="H15" s="195">
        <f t="shared" si="2"/>
        <v>-9100</v>
      </c>
      <c r="J15" s="196">
        <f>+Cem!D$121</f>
        <v>-5400</v>
      </c>
      <c r="K15" s="197">
        <f>+Cem!D$290</f>
        <v>0</v>
      </c>
      <c r="L15" s="195">
        <f t="shared" si="3"/>
        <v>-5400</v>
      </c>
      <c r="N15" s="243">
        <f>+Cem!E$121</f>
        <v>-7000</v>
      </c>
      <c r="O15" s="244">
        <f>+Cem!E$290</f>
        <v>1000</v>
      </c>
      <c r="P15" s="195">
        <f t="shared" si="9"/>
        <v>-6000</v>
      </c>
      <c r="R15" s="243">
        <f>+Cem!F$121</f>
        <v>-7300</v>
      </c>
      <c r="S15" s="244">
        <f>+Cem!F$290</f>
        <v>1000</v>
      </c>
      <c r="T15" s="195">
        <f t="shared" si="4"/>
        <v>-6300</v>
      </c>
      <c r="V15" s="243">
        <f>+Cem!G$121</f>
        <v>-7700</v>
      </c>
      <c r="W15" s="244">
        <f>+Cem!G$290</f>
        <v>1000</v>
      </c>
      <c r="X15" s="195">
        <f t="shared" si="5"/>
        <v>-6700</v>
      </c>
    </row>
    <row r="16" spans="1:24" x14ac:dyDescent="0.35">
      <c r="A16" s="201" t="s">
        <v>3406</v>
      </c>
      <c r="B16" s="196">
        <f>+Par!B$121</f>
        <v>-1700</v>
      </c>
      <c r="C16" s="197">
        <f>+Par!B$290</f>
        <v>684300</v>
      </c>
      <c r="D16" s="195">
        <f t="shared" si="1"/>
        <v>682600</v>
      </c>
      <c r="F16" s="196">
        <f>+Par!C$121</f>
        <v>-1700</v>
      </c>
      <c r="G16" s="197">
        <f>+Par!C$290</f>
        <v>634300</v>
      </c>
      <c r="H16" s="195">
        <f t="shared" si="2"/>
        <v>632600</v>
      </c>
      <c r="J16" s="196">
        <f>+Par!D$121</f>
        <v>-1600</v>
      </c>
      <c r="K16" s="197">
        <f>+Par!D$290</f>
        <v>681655.16</v>
      </c>
      <c r="L16" s="195">
        <f t="shared" si="3"/>
        <v>680055.16</v>
      </c>
      <c r="N16" s="243">
        <f>+Par!E$121</f>
        <v>-1700</v>
      </c>
      <c r="O16" s="244">
        <f>+Par!E$290</f>
        <v>705900</v>
      </c>
      <c r="P16" s="195">
        <f t="shared" si="9"/>
        <v>704200</v>
      </c>
      <c r="R16" s="243">
        <f>+Par!F$121</f>
        <v>-1800</v>
      </c>
      <c r="S16" s="244">
        <f>+Par!F$290</f>
        <v>856700</v>
      </c>
      <c r="T16" s="195">
        <f t="shared" si="4"/>
        <v>854900</v>
      </c>
      <c r="V16" s="243">
        <f>+Par!G$121</f>
        <v>-1900</v>
      </c>
      <c r="W16" s="244">
        <f>+Par!G$290</f>
        <v>900100</v>
      </c>
      <c r="X16" s="195">
        <f t="shared" si="5"/>
        <v>898200</v>
      </c>
    </row>
    <row r="17" spans="1:24" x14ac:dyDescent="0.35">
      <c r="A17" s="201" t="s">
        <v>3407</v>
      </c>
      <c r="B17" s="196">
        <f>+Str!B$121</f>
        <v>0</v>
      </c>
      <c r="C17" s="197">
        <f>+Str!B$290</f>
        <v>4630500</v>
      </c>
      <c r="D17" s="195">
        <f t="shared" si="1"/>
        <v>4630500</v>
      </c>
      <c r="F17" s="196">
        <f>+Str!C$121</f>
        <v>0</v>
      </c>
      <c r="G17" s="197">
        <f>+Str!C$290</f>
        <v>4580500</v>
      </c>
      <c r="H17" s="195">
        <f t="shared" si="2"/>
        <v>4580500</v>
      </c>
      <c r="J17" s="196">
        <f>+Str!D$121</f>
        <v>0</v>
      </c>
      <c r="K17" s="197">
        <f>+Str!D$290</f>
        <v>5924552.2899999991</v>
      </c>
      <c r="L17" s="195">
        <f t="shared" si="3"/>
        <v>5924552.2899999991</v>
      </c>
      <c r="N17" s="243">
        <f>+Str!E$121</f>
        <v>-8325100</v>
      </c>
      <c r="O17" s="244">
        <f>+Str!E$290</f>
        <v>14635000</v>
      </c>
      <c r="P17" s="195">
        <f t="shared" si="9"/>
        <v>6309900</v>
      </c>
      <c r="R17" s="243">
        <f>+Str!F$121</f>
        <v>-8352000</v>
      </c>
      <c r="S17" s="244">
        <f>+Str!F$290</f>
        <v>15033700</v>
      </c>
      <c r="T17" s="195">
        <f t="shared" si="4"/>
        <v>6681700</v>
      </c>
      <c r="V17" s="243">
        <f>+Str!G$121</f>
        <v>-8562000</v>
      </c>
      <c r="W17" s="244">
        <f>+Str!G$290</f>
        <v>15617400</v>
      </c>
      <c r="X17" s="195">
        <f t="shared" si="5"/>
        <v>7055400</v>
      </c>
    </row>
    <row r="18" spans="1:24" x14ac:dyDescent="0.35">
      <c r="A18" s="201" t="s">
        <v>2564</v>
      </c>
      <c r="B18" s="196">
        <f>+Ele!B$121</f>
        <v>-20535400</v>
      </c>
      <c r="C18" s="197">
        <f>+Ele!B$290</f>
        <v>18875100</v>
      </c>
      <c r="D18" s="195">
        <f t="shared" si="1"/>
        <v>-1660300</v>
      </c>
      <c r="F18" s="196">
        <f>+Ele!C$121</f>
        <v>-16290400</v>
      </c>
      <c r="G18" s="197">
        <f>+Ele!C$290</f>
        <v>13179100</v>
      </c>
      <c r="H18" s="195">
        <f t="shared" si="2"/>
        <v>-3111300</v>
      </c>
      <c r="J18" s="196">
        <f>+Ele!D$121</f>
        <v>-16011510.789999999</v>
      </c>
      <c r="K18" s="197">
        <f>+Ele!D$290</f>
        <v>15931345.019999998</v>
      </c>
      <c r="L18" s="195">
        <f t="shared" si="3"/>
        <v>-80165.770000001416</v>
      </c>
      <c r="N18" s="243">
        <f>+Ele!E$121</f>
        <v>-17112800</v>
      </c>
      <c r="O18" s="244">
        <f>+Ele!E$290</f>
        <v>15524600</v>
      </c>
      <c r="P18" s="195">
        <f t="shared" si="9"/>
        <v>-1588200</v>
      </c>
      <c r="R18" s="243">
        <f>+Ele!F$121</f>
        <v>-20073500</v>
      </c>
      <c r="S18" s="244">
        <f>+Ele!F$290</f>
        <v>18171800</v>
      </c>
      <c r="T18" s="195">
        <f t="shared" si="4"/>
        <v>-1901700</v>
      </c>
      <c r="V18" s="243">
        <f>+Ele!G$121</f>
        <v>-21042700</v>
      </c>
      <c r="W18" s="244">
        <f>+Ele!G$290</f>
        <v>18864300</v>
      </c>
      <c r="X18" s="195">
        <f t="shared" si="5"/>
        <v>-2178400</v>
      </c>
    </row>
    <row r="19" spans="1:24" x14ac:dyDescent="0.35">
      <c r="A19" s="201" t="s">
        <v>2565</v>
      </c>
      <c r="B19" s="196">
        <f>+Wat!B$121</f>
        <v>-36691200</v>
      </c>
      <c r="C19" s="197">
        <f>+Wat!B$290</f>
        <v>39178100</v>
      </c>
      <c r="D19" s="195">
        <f t="shared" si="1"/>
        <v>2486900</v>
      </c>
      <c r="F19" s="196">
        <f>+Wat!C$121</f>
        <v>-16531200</v>
      </c>
      <c r="G19" s="197">
        <f>+Wat!C$290</f>
        <v>18955100</v>
      </c>
      <c r="H19" s="195">
        <f t="shared" si="2"/>
        <v>2423900</v>
      </c>
      <c r="J19" s="196">
        <f>+Wat!D$121</f>
        <v>-16427475.630000003</v>
      </c>
      <c r="K19" s="197">
        <f>+Wat!D$290</f>
        <v>14361284.66</v>
      </c>
      <c r="L19" s="195">
        <f t="shared" si="3"/>
        <v>-2066190.9700000025</v>
      </c>
      <c r="N19" s="243">
        <f>+Wat!E$121</f>
        <v>-9639400</v>
      </c>
      <c r="O19" s="244">
        <f>+Wat!E$290</f>
        <v>7261200</v>
      </c>
      <c r="P19" s="195">
        <f t="shared" si="9"/>
        <v>-2378200</v>
      </c>
      <c r="R19" s="243">
        <f>+Wat!F$121</f>
        <v>-19481800</v>
      </c>
      <c r="S19" s="244">
        <f>+Wat!F$290</f>
        <v>16752800</v>
      </c>
      <c r="T19" s="195">
        <f t="shared" si="4"/>
        <v>-2729000</v>
      </c>
      <c r="V19" s="243">
        <f>+Wat!G$121</f>
        <v>-10055800</v>
      </c>
      <c r="W19" s="244">
        <f>+Wat!G$290</f>
        <v>7055100</v>
      </c>
      <c r="X19" s="195">
        <f t="shared" si="5"/>
        <v>-3000700</v>
      </c>
    </row>
    <row r="20" spans="1:24" x14ac:dyDescent="0.35">
      <c r="A20" s="201" t="s">
        <v>2566</v>
      </c>
      <c r="B20" s="196">
        <f>+San!B$121</f>
        <v>-9453600</v>
      </c>
      <c r="C20" s="197">
        <f>+San!B$290</f>
        <v>3312200</v>
      </c>
      <c r="D20" s="195">
        <f t="shared" si="1"/>
        <v>-6141400</v>
      </c>
      <c r="F20" s="196">
        <f>+San!C$121</f>
        <v>-9303600</v>
      </c>
      <c r="G20" s="197">
        <f>+San!C$290</f>
        <v>3312200</v>
      </c>
      <c r="H20" s="195">
        <f t="shared" si="2"/>
        <v>-5991400</v>
      </c>
      <c r="J20" s="196">
        <f>+San!D$121</f>
        <v>-9428734.7599999998</v>
      </c>
      <c r="K20" s="197">
        <f>+San!D$290</f>
        <v>4635159.6100000013</v>
      </c>
      <c r="L20" s="195">
        <f t="shared" si="3"/>
        <v>-4793575.1499999985</v>
      </c>
      <c r="N20" s="243">
        <f>+San!E$121</f>
        <v>-8826700</v>
      </c>
      <c r="O20" s="244">
        <f>+San!E$290</f>
        <v>4681200</v>
      </c>
      <c r="P20" s="195">
        <f t="shared" si="9"/>
        <v>-4145500</v>
      </c>
      <c r="R20" s="243">
        <f>+San!F$121</f>
        <v>-9451600</v>
      </c>
      <c r="S20" s="244">
        <f>+San!F$290</f>
        <v>4987700</v>
      </c>
      <c r="T20" s="195">
        <f t="shared" si="4"/>
        <v>-4463900</v>
      </c>
      <c r="V20" s="243">
        <f>+San!G$121</f>
        <v>-10024900</v>
      </c>
      <c r="W20" s="244">
        <f>+San!G$290</f>
        <v>5197700</v>
      </c>
      <c r="X20" s="195">
        <f t="shared" si="5"/>
        <v>-4827200</v>
      </c>
    </row>
    <row r="21" spans="1:24" x14ac:dyDescent="0.35">
      <c r="A21" s="224" t="s">
        <v>2606</v>
      </c>
      <c r="B21" s="196">
        <f>+Ref!B$121</f>
        <v>-8854300</v>
      </c>
      <c r="C21" s="197">
        <f>+Ref!B$290</f>
        <v>2438900</v>
      </c>
      <c r="D21" s="195">
        <f t="shared" si="1"/>
        <v>-6415400</v>
      </c>
      <c r="F21" s="202">
        <f>+Ref!C$121</f>
        <v>-8654300</v>
      </c>
      <c r="G21" s="203">
        <f>+Ref!C$290</f>
        <v>2438900</v>
      </c>
      <c r="H21" s="204">
        <f t="shared" si="2"/>
        <v>-6215400</v>
      </c>
      <c r="J21" s="202">
        <f>+Ref!D$121</f>
        <v>-8302064.3200000003</v>
      </c>
      <c r="K21" s="203">
        <f>+Ref!D$290</f>
        <v>2412186.2599999998</v>
      </c>
      <c r="L21" s="204">
        <f t="shared" si="3"/>
        <v>-5889878.0600000005</v>
      </c>
      <c r="N21" s="243">
        <f>+Ref!E$121</f>
        <v>-7604800</v>
      </c>
      <c r="O21" s="244">
        <f>+Ref!E$290</f>
        <v>2662200</v>
      </c>
      <c r="P21" s="195">
        <f t="shared" si="9"/>
        <v>-4942600</v>
      </c>
      <c r="R21" s="243">
        <f>+Ref!F$121</f>
        <v>-8038000</v>
      </c>
      <c r="S21" s="244">
        <f>+Ref!F$290</f>
        <v>3023300</v>
      </c>
      <c r="T21" s="195">
        <f t="shared" si="4"/>
        <v>-5014700</v>
      </c>
      <c r="V21" s="243">
        <f>+Ref!G$121</f>
        <v>-8545900</v>
      </c>
      <c r="W21" s="244">
        <f>+Ref!G$290</f>
        <v>3194500</v>
      </c>
      <c r="X21" s="195">
        <f t="shared" si="5"/>
        <v>-5351400</v>
      </c>
    </row>
    <row r="22" spans="1:24" x14ac:dyDescent="0.35">
      <c r="A22" s="224" t="s">
        <v>3453</v>
      </c>
      <c r="B22" s="196">
        <f>+Infra!B$121</f>
        <v>0</v>
      </c>
      <c r="C22" s="197">
        <f>+Infra!B$290</f>
        <v>958000</v>
      </c>
      <c r="D22" s="195">
        <f t="shared" ref="D22" si="14">+B22+C22</f>
        <v>958000</v>
      </c>
      <c r="F22" s="196"/>
      <c r="G22" s="197"/>
      <c r="H22" s="195"/>
      <c r="J22" s="196"/>
      <c r="K22" s="197"/>
      <c r="L22" s="195"/>
      <c r="N22" s="196">
        <f>+Infra!E$121</f>
        <v>0</v>
      </c>
      <c r="O22" s="244">
        <f>+Infra!E$290</f>
        <v>956700</v>
      </c>
      <c r="P22" s="195">
        <f t="shared" ref="P22" si="15">+N22+O22</f>
        <v>956700</v>
      </c>
      <c r="R22" s="196">
        <f>+Infra!F$121</f>
        <v>0</v>
      </c>
      <c r="S22" s="244">
        <f>+Infra!F$290</f>
        <v>994100</v>
      </c>
      <c r="T22" s="195">
        <f t="shared" ref="T22" si="16">+R22+S22</f>
        <v>994100</v>
      </c>
      <c r="V22" s="196">
        <f>+Infra!G$121</f>
        <v>0</v>
      </c>
      <c r="W22" s="244">
        <f>+Infra!G$290</f>
        <v>1033000</v>
      </c>
      <c r="X22" s="195">
        <f t="shared" ref="X22" si="17">+V22+W22</f>
        <v>1033000</v>
      </c>
    </row>
    <row r="23" spans="1:24" x14ac:dyDescent="0.35">
      <c r="A23" s="201"/>
      <c r="B23" s="196"/>
      <c r="C23" s="197"/>
      <c r="D23" s="195"/>
      <c r="F23" s="196"/>
      <c r="G23" s="197"/>
      <c r="H23" s="195"/>
      <c r="J23" s="196"/>
      <c r="K23" s="197"/>
      <c r="L23" s="195"/>
      <c r="N23" s="196"/>
      <c r="O23" s="197"/>
      <c r="P23" s="195"/>
      <c r="R23" s="202"/>
      <c r="S23" s="197"/>
      <c r="T23" s="195"/>
      <c r="V23" s="196"/>
      <c r="W23" s="197"/>
      <c r="X23" s="195"/>
    </row>
    <row r="24" spans="1:24" x14ac:dyDescent="0.35">
      <c r="A24" s="80"/>
      <c r="B24" s="198">
        <f>SUM(B5:B23)</f>
        <v>-94175000</v>
      </c>
      <c r="C24" s="199">
        <f>SUM(C5:C23)</f>
        <v>101212000</v>
      </c>
      <c r="D24" s="200">
        <f>SUM(D5:D23)</f>
        <v>7037000</v>
      </c>
      <c r="F24" s="198">
        <f>SUM(F5:F23)</f>
        <v>-68643000</v>
      </c>
      <c r="G24" s="199">
        <f>SUM(G5:G23)</f>
        <v>69484000</v>
      </c>
      <c r="H24" s="200">
        <f>SUM(H5:H23)</f>
        <v>841000</v>
      </c>
      <c r="J24" s="198">
        <f>SUM(J5:J23)</f>
        <v>-68381192.609999999</v>
      </c>
      <c r="K24" s="199">
        <f>SUM(K5:K23)</f>
        <v>69910258.609999999</v>
      </c>
      <c r="L24" s="200">
        <f>SUM(L5:L23)</f>
        <v>1529065.9999999963</v>
      </c>
      <c r="N24" s="198">
        <f>SUM(N5:N23)</f>
        <v>-71361100</v>
      </c>
      <c r="O24" s="199">
        <f>SUM(O5:O23)</f>
        <v>78751600</v>
      </c>
      <c r="P24" s="200">
        <f>SUM(P5:P23)</f>
        <v>7390500</v>
      </c>
      <c r="R24" s="198">
        <f>SUM(R5:R23)</f>
        <v>-86333300</v>
      </c>
      <c r="S24" s="199">
        <f>SUM(S5:S23)</f>
        <v>93401000</v>
      </c>
      <c r="T24" s="200">
        <f>SUM(T5:T23)</f>
        <v>7067700</v>
      </c>
      <c r="V24" s="198">
        <f>SUM(V5:V23)</f>
        <v>-79619500</v>
      </c>
      <c r="W24" s="199">
        <f>SUM(W5:W23)</f>
        <v>86658100</v>
      </c>
      <c r="X24" s="200">
        <f>SUM(X5:X23)</f>
        <v>7038600</v>
      </c>
    </row>
    <row r="26" spans="1:24" x14ac:dyDescent="0.35">
      <c r="O26" s="226"/>
      <c r="P26" s="226"/>
    </row>
    <row r="27" spans="1:24" x14ac:dyDescent="0.35">
      <c r="P27" s="226"/>
    </row>
  </sheetData>
  <mergeCells count="1">
    <mergeCell ref="A1:X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tabColor theme="3"/>
    <pageSetUpPr fitToPage="1"/>
  </sheetPr>
  <dimension ref="A1:I293"/>
  <sheetViews>
    <sheetView topLeftCell="A107" zoomScale="69" zoomScaleNormal="69" workbookViewId="0">
      <selection activeCell="E183" sqref="E183:E198"/>
    </sheetView>
  </sheetViews>
  <sheetFormatPr defaultColWidth="9.1796875" defaultRowHeight="14.5" x14ac:dyDescent="0.35"/>
  <cols>
    <col min="1" max="1" width="61.36328125" style="113" customWidth="1"/>
    <col min="2" max="2" width="19.7265625" style="113" customWidth="1"/>
    <col min="3" max="3" width="21.54296875" style="111" customWidth="1"/>
    <col min="4" max="4" width="21.81640625" style="113" customWidth="1"/>
    <col min="5" max="5" width="22.7265625" style="113" customWidth="1"/>
    <col min="6" max="7" width="20.1796875" style="113" customWidth="1"/>
    <col min="8" max="8" width="36.54296875" style="113" customWidth="1"/>
    <col min="9" max="9" width="37.54296875" style="113" customWidth="1"/>
    <col min="10" max="16384" width="9.1796875" style="113"/>
  </cols>
  <sheetData>
    <row r="1" spans="1:9" ht="15" thickBot="1" x14ac:dyDescent="0.4">
      <c r="F1" s="118">
        <v>1</v>
      </c>
      <c r="G1" s="118"/>
    </row>
    <row r="2" spans="1:9" ht="40.5" customHeight="1" thickBot="1" x14ac:dyDescent="0.4">
      <c r="A2" s="120" t="s">
        <v>2803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2678</v>
      </c>
      <c r="B4" s="111"/>
      <c r="D4" s="111"/>
      <c r="E4" s="111"/>
      <c r="F4" s="116"/>
      <c r="G4" s="116"/>
    </row>
    <row r="5" spans="1:9" x14ac:dyDescent="0.35">
      <c r="A5" s="126"/>
      <c r="B5" s="111"/>
      <c r="D5" s="111"/>
      <c r="E5" s="111"/>
      <c r="F5" s="116"/>
      <c r="G5" s="116"/>
    </row>
    <row r="6" spans="1:9" hidden="1" x14ac:dyDescent="0.35">
      <c r="A6" s="215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/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/>
      <c r="D8" s="89"/>
      <c r="E8" s="89"/>
      <c r="F8" s="89"/>
      <c r="G8" s="89"/>
      <c r="H8" s="66" t="str">
        <f>VLOOKUP(A8,'Tot KPA'!A:H,8,0)</f>
        <v>Other revenue</v>
      </c>
      <c r="I8" s="66">
        <f>VLOOKUP(A8,'Tot KPA'!A:I,9,0)</f>
        <v>0</v>
      </c>
    </row>
    <row r="9" spans="1:9" x14ac:dyDescent="0.35">
      <c r="A9" s="66" t="s">
        <v>2834</v>
      </c>
      <c r="B9" s="89">
        <v>-1500</v>
      </c>
      <c r="C9" s="89">
        <v>-1500</v>
      </c>
      <c r="D9" s="235">
        <v>-250</v>
      </c>
      <c r="E9" s="235">
        <v>-500</v>
      </c>
      <c r="F9" s="235">
        <v>-500</v>
      </c>
      <c r="G9" s="235">
        <v>-500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/>
      <c r="C10" s="89"/>
      <c r="D10" s="235"/>
      <c r="E10" s="235"/>
      <c r="F10" s="235"/>
      <c r="G10" s="235"/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/>
      <c r="C11" s="89"/>
      <c r="D11" s="235"/>
      <c r="E11" s="235"/>
      <c r="F11" s="235"/>
      <c r="G11" s="235"/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/>
      <c r="C12" s="89"/>
      <c r="D12" s="235"/>
      <c r="E12" s="235"/>
      <c r="F12" s="235"/>
      <c r="G12" s="235"/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/>
      <c r="C13" s="89"/>
      <c r="D13" s="235"/>
      <c r="E13" s="235"/>
      <c r="F13" s="235"/>
      <c r="G13" s="235"/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/>
      <c r="C14" s="89"/>
      <c r="D14" s="235"/>
      <c r="E14" s="235"/>
      <c r="F14" s="235"/>
      <c r="G14" s="235"/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/>
      <c r="C15" s="89"/>
      <c r="D15" s="235"/>
      <c r="E15" s="235"/>
      <c r="F15" s="235"/>
      <c r="G15" s="235"/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/>
      <c r="C16" s="89"/>
      <c r="D16" s="235"/>
      <c r="E16" s="235"/>
      <c r="F16" s="235"/>
      <c r="G16" s="235"/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5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/>
      <c r="C18" s="89"/>
      <c r="D18" s="235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5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5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5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5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/>
      <c r="C23" s="89"/>
      <c r="D23" s="235"/>
      <c r="E23" s="235"/>
      <c r="F23" s="235"/>
      <c r="G23" s="235"/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/>
      <c r="C24" s="89"/>
      <c r="D24" s="235"/>
      <c r="E24" s="235"/>
      <c r="F24" s="235"/>
      <c r="G24" s="235"/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/>
      <c r="C25" s="89"/>
      <c r="D25" s="235"/>
      <c r="E25" s="235"/>
      <c r="F25" s="235"/>
      <c r="G25" s="235"/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235"/>
      <c r="E26" s="235"/>
      <c r="F26" s="235"/>
      <c r="G26" s="235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x14ac:dyDescent="0.35">
      <c r="A27" s="66" t="s">
        <v>3001</v>
      </c>
      <c r="B27" s="89">
        <v>-2435000</v>
      </c>
      <c r="C27" s="89">
        <v>-2435000</v>
      </c>
      <c r="D27" s="235">
        <v>-2435000</v>
      </c>
      <c r="E27" s="235">
        <v>-2800000</v>
      </c>
      <c r="F27" s="235">
        <v>-2800000</v>
      </c>
      <c r="G27" s="235">
        <v>-2800000</v>
      </c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235"/>
      <c r="F28" s="235"/>
      <c r="G28" s="235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235"/>
      <c r="F29" s="235"/>
      <c r="G29" s="235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235"/>
      <c r="F30" s="235"/>
      <c r="G30" s="235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235"/>
      <c r="F31" s="235"/>
      <c r="G31" s="235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235"/>
      <c r="F32" s="235"/>
      <c r="G32" s="235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235"/>
      <c r="F33" s="235"/>
      <c r="G33" s="235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235"/>
      <c r="F34" s="235"/>
      <c r="G34" s="235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235"/>
      <c r="F35" s="235"/>
      <c r="G35" s="235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235"/>
      <c r="F36" s="235"/>
      <c r="G36" s="235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235"/>
      <c r="F37" s="235"/>
      <c r="G37" s="235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235"/>
      <c r="F38" s="235"/>
      <c r="G38" s="235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235"/>
      <c r="F39" s="235"/>
      <c r="G39" s="235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235"/>
      <c r="F40" s="235"/>
      <c r="G40" s="235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235"/>
      <c r="F41" s="235"/>
      <c r="G41" s="235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235"/>
      <c r="F42" s="235"/>
      <c r="G42" s="235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235"/>
      <c r="F43" s="235"/>
      <c r="G43" s="235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235"/>
      <c r="F44" s="235"/>
      <c r="G44" s="235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235"/>
      <c r="F45" s="235"/>
      <c r="G45" s="235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235"/>
      <c r="F46" s="235"/>
      <c r="G46" s="235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235"/>
      <c r="F47" s="235"/>
      <c r="G47" s="235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235"/>
      <c r="F48" s="235"/>
      <c r="G48" s="235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235"/>
      <c r="F49" s="235"/>
      <c r="G49" s="235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235"/>
      <c r="F50" s="235"/>
      <c r="G50" s="235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x14ac:dyDescent="0.35">
      <c r="A51" s="66" t="s">
        <v>2967</v>
      </c>
      <c r="B51" s="89">
        <v>-3600</v>
      </c>
      <c r="C51" s="89">
        <v>-3600</v>
      </c>
      <c r="D51" s="235">
        <v>-2901</v>
      </c>
      <c r="E51" s="235">
        <v>-3600</v>
      </c>
      <c r="F51" s="235">
        <v>-3800</v>
      </c>
      <c r="G51" s="235">
        <v>-4000</v>
      </c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235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235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235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235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x14ac:dyDescent="0.35">
      <c r="A56" s="66" t="s">
        <v>2838</v>
      </c>
      <c r="B56" s="89">
        <v>-305000</v>
      </c>
      <c r="C56" s="89">
        <v>-309000</v>
      </c>
      <c r="D56" s="235">
        <v>-296588.96999999997</v>
      </c>
      <c r="E56" s="235">
        <v>-297000</v>
      </c>
      <c r="F56" s="235">
        <v>-310600</v>
      </c>
      <c r="G56" s="235">
        <v>-324900</v>
      </c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234"/>
      <c r="G57" s="234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234"/>
      <c r="G58" s="234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234"/>
      <c r="G59" s="234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234"/>
      <c r="G60" s="234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234"/>
      <c r="G61" s="234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234"/>
      <c r="G62" s="234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234"/>
      <c r="G63" s="234"/>
      <c r="H63" s="66" t="str">
        <f>VLOOKUP(A63,'Tot KPA'!A:H,8,0)</f>
        <v>Agency services</v>
      </c>
      <c r="I63" s="66">
        <f>VLOOKUP(A63,'Tot KPA'!A:I,9,0)</f>
        <v>0</v>
      </c>
    </row>
    <row r="64" spans="1:9" x14ac:dyDescent="0.35">
      <c r="A64" s="66" t="s">
        <v>2827</v>
      </c>
      <c r="B64" s="89">
        <v>0</v>
      </c>
      <c r="C64" s="89">
        <v>0</v>
      </c>
      <c r="D64" s="235">
        <v>0</v>
      </c>
      <c r="E64" s="235">
        <v>-300000</v>
      </c>
      <c r="F64" s="235">
        <v>-500000</v>
      </c>
      <c r="G64" s="235">
        <v>0</v>
      </c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89"/>
      <c r="F65" s="234"/>
      <c r="G65" s="234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234"/>
      <c r="G66" s="234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234"/>
      <c r="G67" s="234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234"/>
      <c r="G68" s="234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234"/>
      <c r="G69" s="234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234"/>
      <c r="G70" s="234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234"/>
      <c r="G71" s="234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234"/>
      <c r="G72" s="234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89"/>
      <c r="F73" s="234"/>
      <c r="G73" s="234"/>
      <c r="H73" s="66" t="str">
        <f>VLOOKUP(A73,'Tot KPA'!A:H,8,0)</f>
        <v>Other revenue</v>
      </c>
      <c r="I73" s="66">
        <f>VLOOKUP(A73,'Tot KPA'!A:I,9,0)</f>
        <v>0</v>
      </c>
    </row>
    <row r="74" spans="1:9" x14ac:dyDescent="0.35">
      <c r="A74" s="66" t="s">
        <v>2840</v>
      </c>
      <c r="B74" s="89">
        <v>-75000</v>
      </c>
      <c r="C74" s="89">
        <v>-75000</v>
      </c>
      <c r="D74" s="235">
        <v>-26517.33</v>
      </c>
      <c r="E74" s="235">
        <v>-28000</v>
      </c>
      <c r="F74" s="235">
        <v>-29300</v>
      </c>
      <c r="G74" s="235">
        <v>-30700</v>
      </c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235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235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235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235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235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235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/>
      <c r="C81" s="89"/>
      <c r="D81" s="235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/>
      <c r="C82" s="89"/>
      <c r="D82" s="235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235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/>
      <c r="C84" s="89"/>
      <c r="D84" s="235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/>
      <c r="C85" s="89"/>
      <c r="D85" s="235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/>
      <c r="C86" s="89"/>
      <c r="D86" s="235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/>
      <c r="C87" s="89"/>
      <c r="D87" s="235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235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/>
      <c r="C89" s="89"/>
      <c r="D89" s="235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/>
      <c r="C90" s="89"/>
      <c r="D90" s="235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/>
      <c r="C91" s="89"/>
      <c r="D91" s="235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x14ac:dyDescent="0.35">
      <c r="A92" s="66" t="s">
        <v>2935</v>
      </c>
      <c r="B92" s="89">
        <v>-9000</v>
      </c>
      <c r="C92" s="89">
        <v>-9000</v>
      </c>
      <c r="D92" s="235">
        <v>-21800.959999999999</v>
      </c>
      <c r="E92" s="235">
        <v>-22800</v>
      </c>
      <c r="F92" s="235">
        <v>-23900</v>
      </c>
      <c r="G92" s="235">
        <v>-25000</v>
      </c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/>
      <c r="C93" s="89"/>
      <c r="D93" s="89"/>
      <c r="E93" s="235"/>
      <c r="F93" s="235"/>
      <c r="G93" s="235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/>
      <c r="C94" s="89"/>
      <c r="D94" s="89"/>
      <c r="E94" s="235"/>
      <c r="F94" s="235"/>
      <c r="G94" s="235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/>
      <c r="C95" s="89"/>
      <c r="D95" s="89"/>
      <c r="E95" s="235"/>
      <c r="F95" s="235"/>
      <c r="G95" s="235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/>
      <c r="C96" s="89"/>
      <c r="D96" s="89"/>
      <c r="E96" s="235"/>
      <c r="F96" s="235"/>
      <c r="G96" s="235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235"/>
      <c r="F97" s="235"/>
      <c r="G97" s="235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235"/>
      <c r="F98" s="235"/>
      <c r="G98" s="235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x14ac:dyDescent="0.35">
      <c r="A99" s="66" t="s">
        <v>3071</v>
      </c>
      <c r="B99" s="89">
        <v>-1900000</v>
      </c>
      <c r="C99" s="89">
        <f>-1900000+78000</f>
        <v>-1822000</v>
      </c>
      <c r="D99" s="235">
        <v>-1345000</v>
      </c>
      <c r="E99" s="235">
        <v>-1000000</v>
      </c>
      <c r="F99" s="235">
        <f>+E99*1.046</f>
        <v>-1046000</v>
      </c>
      <c r="G99" s="235">
        <v>-1095000</v>
      </c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/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/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/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/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/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x14ac:dyDescent="0.35">
      <c r="A105" s="66" t="s">
        <v>2842</v>
      </c>
      <c r="B105" s="89">
        <v>-10000</v>
      </c>
      <c r="C105" s="89">
        <v>-10000</v>
      </c>
      <c r="D105" s="235">
        <v>0</v>
      </c>
      <c r="E105" s="235">
        <v>-1000</v>
      </c>
      <c r="F105" s="235">
        <v>-1100</v>
      </c>
      <c r="G105" s="235">
        <v>-1200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/>
      <c r="E106" s="89">
        <v>0</v>
      </c>
      <c r="F106" s="234">
        <v>0</v>
      </c>
      <c r="G106" s="234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x14ac:dyDescent="0.35">
      <c r="A107" s="66" t="s">
        <v>2973</v>
      </c>
      <c r="B107" s="89">
        <v>-2000</v>
      </c>
      <c r="C107" s="89">
        <v>-2000</v>
      </c>
      <c r="D107" s="235">
        <v>-357.18</v>
      </c>
      <c r="E107" s="235">
        <v>-500</v>
      </c>
      <c r="F107" s="235">
        <v>-500</v>
      </c>
      <c r="G107" s="235">
        <v>-500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9" ht="15" thickBot="1" x14ac:dyDescent="0.4">
      <c r="A121" s="117" t="s">
        <v>2545</v>
      </c>
      <c r="B121" s="112">
        <f t="shared" ref="B121:G121" si="0">SUM(B2:B119)</f>
        <v>-4741100</v>
      </c>
      <c r="C121" s="112">
        <f t="shared" si="0"/>
        <v>-4667100</v>
      </c>
      <c r="D121" s="112">
        <f t="shared" si="0"/>
        <v>-4128415.44</v>
      </c>
      <c r="E121" s="112">
        <f t="shared" si="0"/>
        <v>-4453400</v>
      </c>
      <c r="F121" s="112">
        <f t="shared" si="0"/>
        <v>-4715700</v>
      </c>
      <c r="G121" s="112">
        <f t="shared" si="0"/>
        <v>-4281800</v>
      </c>
    </row>
    <row r="122" spans="1:9" ht="15" thickTop="1" x14ac:dyDescent="0.35"/>
    <row r="123" spans="1:9" x14ac:dyDescent="0.35">
      <c r="A123" s="126" t="s">
        <v>2679</v>
      </c>
    </row>
    <row r="124" spans="1:9" x14ac:dyDescent="0.35">
      <c r="A124" s="126"/>
    </row>
    <row r="125" spans="1:9" hidden="1" x14ac:dyDescent="0.35">
      <c r="A125" s="66" t="s">
        <v>3438</v>
      </c>
      <c r="B125" s="89">
        <f>32000-10000</f>
        <v>22000</v>
      </c>
      <c r="C125" s="89">
        <f>32000-10000</f>
        <v>22000</v>
      </c>
      <c r="D125" s="235">
        <v>26900</v>
      </c>
      <c r="E125" s="235">
        <v>32000</v>
      </c>
      <c r="F125" s="235">
        <v>33500</v>
      </c>
      <c r="G125" s="235">
        <v>35000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235"/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235"/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235"/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96000</v>
      </c>
      <c r="C129" s="89">
        <f>96000-46000</f>
        <v>50000</v>
      </c>
      <c r="D129" s="235">
        <v>78000</v>
      </c>
      <c r="E129" s="235">
        <v>80000</v>
      </c>
      <c r="F129" s="235">
        <v>83700</v>
      </c>
      <c r="G129" s="235">
        <v>87600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f>180000*12</f>
        <v>2160000</v>
      </c>
      <c r="C130" s="89">
        <f>180000*12-60000</f>
        <v>2100000</v>
      </c>
      <c r="D130" s="235">
        <v>2209938.77</v>
      </c>
      <c r="E130" s="235">
        <v>2320000</v>
      </c>
      <c r="F130" s="235">
        <v>2426800</v>
      </c>
      <c r="G130" s="235">
        <v>2538400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f>64000+77000</f>
        <v>141000</v>
      </c>
      <c r="C131" s="89">
        <f>64000+77000-101000</f>
        <v>40000</v>
      </c>
      <c r="D131" s="235">
        <v>14970.22</v>
      </c>
      <c r="E131" s="235">
        <v>0</v>
      </c>
      <c r="F131" s="235">
        <v>0</v>
      </c>
      <c r="G131" s="235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270000</v>
      </c>
      <c r="C132" s="89">
        <v>270000</v>
      </c>
      <c r="D132" s="235">
        <v>296541.13</v>
      </c>
      <c r="E132" s="235">
        <v>297000</v>
      </c>
      <c r="F132" s="235">
        <v>310600</v>
      </c>
      <c r="G132" s="235">
        <v>324900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/>
      <c r="C133" s="89"/>
      <c r="D133" s="89"/>
      <c r="E133" s="89"/>
      <c r="F133" s="89"/>
      <c r="G133" s="89"/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89"/>
      <c r="F135" s="89"/>
      <c r="G135" s="89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235">
        <f>3219.82*12</f>
        <v>38637.840000000004</v>
      </c>
      <c r="E139" s="235">
        <v>39000</v>
      </c>
      <c r="F139" s="235">
        <v>40800</v>
      </c>
      <c r="G139" s="235">
        <v>42700</v>
      </c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3000</v>
      </c>
      <c r="C142" s="89">
        <v>3000</v>
      </c>
      <c r="D142" s="235">
        <v>0</v>
      </c>
      <c r="E142" s="235">
        <v>36000</v>
      </c>
      <c r="F142" s="235">
        <v>37600</v>
      </c>
      <c r="G142" s="235">
        <v>39400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235"/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>
        <v>472000</v>
      </c>
      <c r="C144" s="89">
        <v>472000</v>
      </c>
      <c r="D144" s="235">
        <v>469833.54</v>
      </c>
      <c r="E144" s="235">
        <v>492000</v>
      </c>
      <c r="F144" s="235">
        <v>514600</v>
      </c>
      <c r="G144" s="235">
        <v>538300</v>
      </c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24000</v>
      </c>
      <c r="C145" s="89">
        <v>24000</v>
      </c>
      <c r="D145" s="235">
        <v>19874.95</v>
      </c>
      <c r="E145" s="235">
        <v>24000</v>
      </c>
      <c r="F145" s="235">
        <v>25300</v>
      </c>
      <c r="G145" s="235">
        <v>26700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260000</v>
      </c>
      <c r="C146" s="89">
        <v>260000</v>
      </c>
      <c r="D146" s="235">
        <v>287023.55</v>
      </c>
      <c r="E146" s="235">
        <v>290000</v>
      </c>
      <c r="F146" s="235">
        <v>303400</v>
      </c>
      <c r="G146" s="235">
        <v>317400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450000</v>
      </c>
      <c r="C147" s="89">
        <v>450000</v>
      </c>
      <c r="D147" s="235">
        <v>498541.59</v>
      </c>
      <c r="E147" s="235">
        <v>500000</v>
      </c>
      <c r="F147" s="235">
        <f>+E147*1.046</f>
        <v>523000</v>
      </c>
      <c r="G147" s="235">
        <v>547100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1600000</v>
      </c>
      <c r="C148" s="89">
        <v>1600000</v>
      </c>
      <c r="D148" s="235">
        <v>1600000</v>
      </c>
      <c r="E148" s="235">
        <v>1600000</v>
      </c>
      <c r="F148" s="235">
        <f>+E148*1.046</f>
        <v>1673600</v>
      </c>
      <c r="G148" s="235">
        <v>1750600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9000</v>
      </c>
      <c r="C149" s="89">
        <v>9000</v>
      </c>
      <c r="D149" s="235">
        <v>9000</v>
      </c>
      <c r="E149" s="235">
        <v>12000</v>
      </c>
      <c r="F149" s="235">
        <v>12600</v>
      </c>
      <c r="G149" s="235">
        <v>13200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235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235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235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235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235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>
        <v>21000</v>
      </c>
      <c r="C155" s="89">
        <v>21000</v>
      </c>
      <c r="D155" s="235">
        <v>39125.300000000003</v>
      </c>
      <c r="E155" s="235">
        <v>61000</v>
      </c>
      <c r="F155" s="235">
        <v>63300</v>
      </c>
      <c r="G155" s="235">
        <v>66200</v>
      </c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89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89"/>
      <c r="F173" s="89"/>
      <c r="G173" s="89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89"/>
      <c r="F178" s="89"/>
      <c r="G178" s="89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2200</v>
      </c>
      <c r="C183" s="89">
        <v>2200</v>
      </c>
      <c r="D183" s="235">
        <v>2105</v>
      </c>
      <c r="E183" s="235">
        <v>2600</v>
      </c>
      <c r="F183" s="235">
        <v>2700</v>
      </c>
      <c r="G183" s="235">
        <v>2900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482000</v>
      </c>
      <c r="C184" s="89">
        <v>482000</v>
      </c>
      <c r="D184" s="235">
        <v>469813.35</v>
      </c>
      <c r="E184" s="235">
        <v>507800</v>
      </c>
      <c r="F184" s="235">
        <v>540900</v>
      </c>
      <c r="G184" s="235">
        <v>576100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>
        <v>17400</v>
      </c>
      <c r="C185" s="89">
        <v>17400</v>
      </c>
      <c r="D185" s="235">
        <v>7200</v>
      </c>
      <c r="E185" s="235">
        <v>7200</v>
      </c>
      <c r="F185" s="235">
        <v>7200</v>
      </c>
      <c r="G185" s="235">
        <v>7200</v>
      </c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0</v>
      </c>
      <c r="C186" s="89">
        <v>0</v>
      </c>
      <c r="D186" s="89"/>
      <c r="E186" s="234">
        <v>0</v>
      </c>
      <c r="F186" s="234">
        <v>0</v>
      </c>
      <c r="G186" s="234">
        <v>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x14ac:dyDescent="0.35">
      <c r="A187" s="66" t="s">
        <v>3398</v>
      </c>
      <c r="B187" s="89">
        <v>91000</v>
      </c>
      <c r="C187" s="89">
        <v>91000</v>
      </c>
      <c r="D187" s="235">
        <v>35129.96</v>
      </c>
      <c r="E187" s="235">
        <v>91000</v>
      </c>
      <c r="F187" s="235">
        <v>96000</v>
      </c>
      <c r="G187" s="235">
        <v>101300</v>
      </c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x14ac:dyDescent="0.35">
      <c r="A188" s="66" t="s">
        <v>3399</v>
      </c>
      <c r="B188" s="89">
        <v>138000</v>
      </c>
      <c r="C188" s="89">
        <v>138000</v>
      </c>
      <c r="D188" s="235">
        <v>126518.92</v>
      </c>
      <c r="E188" s="235">
        <v>138000</v>
      </c>
      <c r="F188" s="235">
        <v>145400</v>
      </c>
      <c r="G188" s="235">
        <v>153300</v>
      </c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x14ac:dyDescent="0.35">
      <c r="A190" s="66" t="s">
        <v>2904</v>
      </c>
      <c r="B190" s="89"/>
      <c r="C190" s="89"/>
      <c r="D190" s="89"/>
      <c r="E190" s="234"/>
      <c r="F190" s="234"/>
      <c r="G190" s="234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112600</v>
      </c>
      <c r="C191" s="89">
        <v>112600</v>
      </c>
      <c r="D191" s="235">
        <v>118914.16</v>
      </c>
      <c r="E191" s="235">
        <v>122000</v>
      </c>
      <c r="F191" s="235">
        <v>130000</v>
      </c>
      <c r="G191" s="235">
        <v>138500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x14ac:dyDescent="0.35">
      <c r="A192" s="66" t="s">
        <v>3039</v>
      </c>
      <c r="B192" s="89"/>
      <c r="C192" s="89"/>
      <c r="D192" s="89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6283900</v>
      </c>
      <c r="C193" s="89">
        <v>6283900</v>
      </c>
      <c r="D193" s="235">
        <v>6188835.4000000004</v>
      </c>
      <c r="E193" s="235">
        <v>6395000</v>
      </c>
      <c r="F193" s="235">
        <v>6811000</v>
      </c>
      <c r="G193" s="235">
        <v>7254000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>
        <v>73100</v>
      </c>
      <c r="C197" s="89">
        <v>73100</v>
      </c>
      <c r="D197" s="235">
        <v>73100</v>
      </c>
      <c r="E197" s="235">
        <v>73100</v>
      </c>
      <c r="F197" s="235">
        <f>+E197</f>
        <v>73100</v>
      </c>
      <c r="G197" s="235">
        <f>+F197</f>
        <v>73100</v>
      </c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29600</v>
      </c>
      <c r="C198" s="89">
        <v>29600</v>
      </c>
      <c r="D198" s="235">
        <v>27615.37</v>
      </c>
      <c r="E198" s="235">
        <v>29500</v>
      </c>
      <c r="F198" s="235">
        <v>31500</v>
      </c>
      <c r="G198" s="235">
        <v>33600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>
        <v>2000</v>
      </c>
      <c r="C201" s="89">
        <v>2000</v>
      </c>
      <c r="D201" s="235">
        <v>1975.18</v>
      </c>
      <c r="E201" s="235">
        <v>2000</v>
      </c>
      <c r="F201" s="235">
        <v>2000</v>
      </c>
      <c r="G201" s="235">
        <v>2000</v>
      </c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>
        <v>120000</v>
      </c>
      <c r="C211" s="89">
        <v>120000</v>
      </c>
      <c r="D211" s="235">
        <f>11869.88*12</f>
        <v>142438.56</v>
      </c>
      <c r="E211" s="235">
        <v>142500</v>
      </c>
      <c r="F211" s="235">
        <v>149100</v>
      </c>
      <c r="G211" s="235">
        <v>156000</v>
      </c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>
        <v>222000</v>
      </c>
      <c r="C212" s="89">
        <v>222000</v>
      </c>
      <c r="D212" s="235">
        <v>59011</v>
      </c>
      <c r="E212" s="235">
        <v>61000</v>
      </c>
      <c r="F212" s="235">
        <v>63900</v>
      </c>
      <c r="G212" s="235">
        <v>66900</v>
      </c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>
        <v>154000</v>
      </c>
      <c r="C213" s="89">
        <f>154000</f>
        <v>154000</v>
      </c>
      <c r="D213" s="235">
        <v>42156</v>
      </c>
      <c r="E213" s="235">
        <v>44000</v>
      </c>
      <c r="F213" s="235">
        <v>46100</v>
      </c>
      <c r="G213" s="235">
        <v>48300</v>
      </c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v>0</v>
      </c>
      <c r="C214" s="89">
        <v>0</v>
      </c>
      <c r="D214" s="89"/>
      <c r="E214" s="89">
        <v>0</v>
      </c>
      <c r="F214" s="89">
        <v>0</v>
      </c>
      <c r="G214" s="89">
        <v>0</v>
      </c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89"/>
      <c r="F216" s="89"/>
      <c r="G216" s="89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>
        <v>60000</v>
      </c>
      <c r="C225" s="89">
        <v>60000</v>
      </c>
      <c r="D225" s="235">
        <v>18316.54</v>
      </c>
      <c r="E225" s="235">
        <v>11500</v>
      </c>
      <c r="F225" s="235">
        <v>12000</v>
      </c>
      <c r="G225" s="235">
        <v>12500</v>
      </c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234"/>
      <c r="F226" s="234"/>
      <c r="G226" s="234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234"/>
      <c r="F227" s="234"/>
      <c r="G227" s="234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4"/>
      <c r="F228" s="234"/>
      <c r="G228" s="234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234"/>
      <c r="F229" s="234"/>
      <c r="G229" s="234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234"/>
      <c r="F230" s="234"/>
      <c r="G230" s="234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>
        <v>0</v>
      </c>
      <c r="C231" s="89">
        <v>0</v>
      </c>
      <c r="D231" s="89"/>
      <c r="E231" s="234">
        <v>0</v>
      </c>
      <c r="F231" s="234">
        <v>0</v>
      </c>
      <c r="G231" s="234">
        <v>0</v>
      </c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234"/>
      <c r="F232" s="234"/>
      <c r="G232" s="234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234"/>
      <c r="F233" s="234"/>
      <c r="G233" s="234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234"/>
      <c r="F234" s="234"/>
      <c r="G234" s="234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234"/>
      <c r="F235" s="234"/>
      <c r="G235" s="234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234"/>
      <c r="F236" s="234"/>
      <c r="G236" s="234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234"/>
      <c r="F237" s="234"/>
      <c r="G237" s="234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234"/>
      <c r="F238" s="234"/>
      <c r="G238" s="234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234"/>
      <c r="F239" s="234"/>
      <c r="G239" s="234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234"/>
      <c r="F240" s="234"/>
      <c r="G240" s="234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234"/>
      <c r="F241" s="234"/>
      <c r="G241" s="234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234"/>
      <c r="F242" s="234"/>
      <c r="G242" s="234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234"/>
      <c r="F243" s="234"/>
      <c r="G243" s="234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234"/>
      <c r="F244" s="234"/>
      <c r="G244" s="234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234"/>
      <c r="F245" s="234"/>
      <c r="G245" s="234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234"/>
      <c r="F246" s="234"/>
      <c r="G246" s="234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234"/>
      <c r="F247" s="234"/>
      <c r="G247" s="234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234"/>
      <c r="F248" s="234"/>
      <c r="G248" s="234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234"/>
      <c r="F249" s="234"/>
      <c r="G249" s="234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234"/>
      <c r="F250" s="234"/>
      <c r="G250" s="234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234"/>
      <c r="F251" s="234"/>
      <c r="G251" s="234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234"/>
      <c r="F252" s="234"/>
      <c r="G252" s="234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234"/>
      <c r="F253" s="234"/>
      <c r="G253" s="234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234"/>
      <c r="F254" s="234"/>
      <c r="G254" s="234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234"/>
      <c r="F255" s="234"/>
      <c r="G255" s="234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234"/>
      <c r="F256" s="234"/>
      <c r="G256" s="234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234"/>
      <c r="F257" s="234"/>
      <c r="G257" s="234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234"/>
      <c r="F258" s="234"/>
      <c r="G258" s="234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234"/>
      <c r="F259" s="234"/>
      <c r="G259" s="234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>
        <v>202000</v>
      </c>
      <c r="C260" s="89">
        <f>202000-150000</f>
        <v>52000</v>
      </c>
      <c r="D260" s="235">
        <v>188597.33</v>
      </c>
      <c r="E260" s="235">
        <v>202000</v>
      </c>
      <c r="F260" s="235">
        <v>213100</v>
      </c>
      <c r="G260" s="235">
        <v>224900</v>
      </c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>
        <v>3000</v>
      </c>
      <c r="C261" s="89">
        <v>3000</v>
      </c>
      <c r="D261" s="235">
        <v>2590</v>
      </c>
      <c r="E261" s="235">
        <v>3000</v>
      </c>
      <c r="F261" s="235">
        <v>3200</v>
      </c>
      <c r="G261" s="235">
        <v>3400</v>
      </c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>
        <v>113800</v>
      </c>
      <c r="C265" s="89">
        <v>113800</v>
      </c>
      <c r="D265" s="235">
        <v>111731.43</v>
      </c>
      <c r="E265" s="235">
        <v>113800</v>
      </c>
      <c r="F265" s="235">
        <v>119100</v>
      </c>
      <c r="G265" s="235">
        <v>124600</v>
      </c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235">
        <v>0</v>
      </c>
      <c r="E266" s="235">
        <v>38000</v>
      </c>
      <c r="F266" s="235">
        <v>39800</v>
      </c>
      <c r="G266" s="235">
        <v>41700</v>
      </c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>
        <v>457400</v>
      </c>
      <c r="C267" s="89">
        <v>457400</v>
      </c>
      <c r="D267" s="235">
        <v>449615.34</v>
      </c>
      <c r="E267" s="235">
        <v>470000</v>
      </c>
      <c r="F267" s="235">
        <v>491600</v>
      </c>
      <c r="G267" s="235">
        <v>514300</v>
      </c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>
        <v>36600</v>
      </c>
      <c r="C268" s="89">
        <v>36600</v>
      </c>
      <c r="D268" s="235">
        <v>35619</v>
      </c>
      <c r="E268" s="235">
        <v>630000</v>
      </c>
      <c r="F268" s="235">
        <v>659000</v>
      </c>
      <c r="G268" s="235">
        <v>689400</v>
      </c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f>60900+10900</f>
        <v>71800</v>
      </c>
      <c r="C272" s="89">
        <f>60900+10900</f>
        <v>71800</v>
      </c>
      <c r="D272" s="235">
        <v>67957.66</v>
      </c>
      <c r="E272" s="235">
        <f>64000+10700</f>
        <v>74700</v>
      </c>
      <c r="F272" s="235">
        <v>79600</v>
      </c>
      <c r="G272" s="235">
        <v>84800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234"/>
      <c r="F273" s="234"/>
      <c r="G273" s="234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165000</v>
      </c>
      <c r="C274" s="89">
        <v>165000</v>
      </c>
      <c r="D274" s="235">
        <v>185197.23</v>
      </c>
      <c r="E274" s="235">
        <v>195000</v>
      </c>
      <c r="F274" s="235">
        <v>204000</v>
      </c>
      <c r="G274" s="235">
        <v>213400</v>
      </c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>
        <v>7900</v>
      </c>
      <c r="C275" s="89">
        <v>7900</v>
      </c>
      <c r="D275" s="235">
        <v>7588</v>
      </c>
      <c r="E275" s="235">
        <v>7900</v>
      </c>
      <c r="F275" s="235">
        <v>8400</v>
      </c>
      <c r="G275" s="235">
        <v>8900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>
        <f>12500+1800+400+6900</f>
        <v>21600</v>
      </c>
      <c r="C276" s="89">
        <f>12500+1800+400+6900</f>
        <v>21600</v>
      </c>
      <c r="D276" s="235">
        <v>15618.97</v>
      </c>
      <c r="E276" s="235">
        <f>12500+1800+400+6900</f>
        <v>21600</v>
      </c>
      <c r="F276" s="235">
        <v>22800</v>
      </c>
      <c r="G276" s="235">
        <v>24100</v>
      </c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f>24000+67500+7200</f>
        <v>98700</v>
      </c>
      <c r="C277" s="89">
        <f>24000+67500+7200</f>
        <v>98700</v>
      </c>
      <c r="D277" s="235">
        <v>24888.09</v>
      </c>
      <c r="E277" s="235">
        <f>24000+12000+17300+6000-23000</f>
        <v>36300</v>
      </c>
      <c r="F277" s="235">
        <v>38000</v>
      </c>
      <c r="G277" s="235">
        <v>39800</v>
      </c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89"/>
      <c r="E278" s="89"/>
      <c r="F278" s="89"/>
      <c r="G278" s="89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89"/>
      <c r="E279" s="89"/>
      <c r="F279" s="89"/>
      <c r="G279" s="89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>
        <f>88300+30000</f>
        <v>118300</v>
      </c>
      <c r="C280" s="89">
        <f>88300+30000</f>
        <v>118300</v>
      </c>
      <c r="D280" s="235">
        <v>111813.69</v>
      </c>
      <c r="E280" s="235">
        <f>88300+30000</f>
        <v>118300</v>
      </c>
      <c r="F280" s="235">
        <v>124600</v>
      </c>
      <c r="G280" s="235">
        <v>131300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>
        <v>0</v>
      </c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14611900</v>
      </c>
      <c r="C290" s="112">
        <f t="shared" si="1"/>
        <v>14254900</v>
      </c>
      <c r="D290" s="112">
        <f t="shared" si="1"/>
        <v>14102733.069999998</v>
      </c>
      <c r="E290" s="112">
        <f t="shared" si="1"/>
        <v>15320800</v>
      </c>
      <c r="F290" s="112">
        <f t="shared" si="1"/>
        <v>16162900</v>
      </c>
      <c r="G290" s="112">
        <f t="shared" si="1"/>
        <v>17053800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9870800</v>
      </c>
      <c r="C292" s="112">
        <f t="shared" si="2"/>
        <v>9587800</v>
      </c>
      <c r="D292" s="112">
        <f t="shared" si="2"/>
        <v>9974317.629999999</v>
      </c>
      <c r="E292" s="112">
        <f t="shared" si="2"/>
        <v>10867400</v>
      </c>
      <c r="F292" s="112">
        <f t="shared" si="2"/>
        <v>11447200</v>
      </c>
      <c r="G292" s="112">
        <f t="shared" si="2"/>
        <v>12772000</v>
      </c>
    </row>
    <row r="293" spans="1:7" ht="15" thickTop="1" x14ac:dyDescent="0.35"/>
  </sheetData>
  <autoFilter ref="G124:H288" xr:uid="{A0AA39BF-4B0E-4F98-A18B-6F5BAC3E953E}">
    <filterColumn colId="1">
      <filters>
        <filter val="Employee related cost"/>
      </filters>
    </filterColumn>
  </autoFilter>
  <sortState xmlns:xlrd2="http://schemas.microsoft.com/office/spreadsheetml/2017/richdata2" ref="A125:I288">
    <sortCondition ref="A125:A288"/>
  </sortState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/>
    <pageSetUpPr fitToPage="1"/>
  </sheetPr>
  <dimension ref="A1:I310"/>
  <sheetViews>
    <sheetView topLeftCell="A5" zoomScale="69" zoomScaleNormal="69" workbookViewId="0">
      <selection activeCell="E183" sqref="E183:E198"/>
    </sheetView>
  </sheetViews>
  <sheetFormatPr defaultColWidth="9.1796875" defaultRowHeight="14.5" x14ac:dyDescent="0.35"/>
  <cols>
    <col min="1" max="1" width="61.36328125" style="113" customWidth="1"/>
    <col min="2" max="2" width="19.7265625" style="113" customWidth="1"/>
    <col min="3" max="3" width="21.54296875" style="111" customWidth="1"/>
    <col min="4" max="4" width="21.81640625" style="113" customWidth="1"/>
    <col min="5" max="5" width="22.7265625" style="113" customWidth="1"/>
    <col min="6" max="7" width="20.1796875" style="113" customWidth="1"/>
    <col min="8" max="8" width="36.54296875" style="113" customWidth="1"/>
    <col min="9" max="9" width="37.54296875" style="113" customWidth="1"/>
    <col min="10" max="16384" width="9.1796875" style="113"/>
  </cols>
  <sheetData>
    <row r="1" spans="1:9" ht="15" thickBot="1" x14ac:dyDescent="0.4">
      <c r="F1" s="118">
        <v>2</v>
      </c>
      <c r="G1" s="118"/>
    </row>
    <row r="2" spans="1:9" ht="40.5" customHeight="1" thickBot="1" x14ac:dyDescent="0.4">
      <c r="A2" s="120" t="s">
        <v>2803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2678</v>
      </c>
      <c r="B4" s="111"/>
      <c r="D4" s="111"/>
      <c r="E4" s="111"/>
      <c r="F4" s="116"/>
      <c r="G4" s="116"/>
    </row>
    <row r="5" spans="1:9" x14ac:dyDescent="0.35">
      <c r="A5" s="126"/>
      <c r="B5" s="111"/>
      <c r="D5" s="111"/>
      <c r="E5" s="111"/>
      <c r="F5" s="116"/>
      <c r="G5" s="116"/>
    </row>
    <row r="6" spans="1:9" hidden="1" x14ac:dyDescent="0.35">
      <c r="A6" s="215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/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/>
      <c r="C8" s="89"/>
      <c r="D8" s="89"/>
      <c r="E8" s="89"/>
      <c r="F8" s="89"/>
      <c r="G8" s="89"/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/>
      <c r="C9" s="89"/>
      <c r="D9" s="89"/>
      <c r="E9" s="89"/>
      <c r="F9" s="89"/>
      <c r="G9" s="89"/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/>
      <c r="C10" s="89"/>
      <c r="D10" s="89"/>
      <c r="E10" s="89"/>
      <c r="F10" s="89"/>
      <c r="G10" s="89"/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/>
      <c r="C11" s="89"/>
      <c r="D11" s="89"/>
      <c r="E11" s="89"/>
      <c r="F11" s="89"/>
      <c r="G11" s="89"/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/>
      <c r="C12" s="89"/>
      <c r="D12" s="89"/>
      <c r="E12" s="89"/>
      <c r="F12" s="89"/>
      <c r="G12" s="89"/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/>
      <c r="C13" s="89"/>
      <c r="D13" s="89"/>
      <c r="E13" s="89"/>
      <c r="F13" s="89"/>
      <c r="G13" s="89"/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/>
      <c r="C14" s="89"/>
      <c r="D14" s="89"/>
      <c r="E14" s="89"/>
      <c r="F14" s="89"/>
      <c r="G14" s="89"/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/>
      <c r="C15" s="89"/>
      <c r="D15" s="89"/>
      <c r="E15" s="89"/>
      <c r="F15" s="89"/>
      <c r="G15" s="89"/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/>
      <c r="C16" s="89"/>
      <c r="D16" s="89"/>
      <c r="E16" s="89"/>
      <c r="F16" s="89"/>
      <c r="G16" s="89"/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/>
      <c r="C18" s="89"/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/>
      <c r="C23" s="89"/>
      <c r="D23" s="89"/>
      <c r="E23" s="89"/>
      <c r="F23" s="89"/>
      <c r="G23" s="89"/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/>
      <c r="C24" s="89"/>
      <c r="D24" s="89"/>
      <c r="E24" s="89"/>
      <c r="F24" s="89"/>
      <c r="G24" s="89"/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/>
      <c r="C25" s="89"/>
      <c r="D25" s="89"/>
      <c r="E25" s="89"/>
      <c r="F25" s="89"/>
      <c r="G25" s="89"/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89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>
        <v>0</v>
      </c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>
        <v>0</v>
      </c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>
        <v>0</v>
      </c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>
        <v>0</v>
      </c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>
        <v>0</v>
      </c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>
        <v>0</v>
      </c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>
        <v>0</v>
      </c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>
        <v>0</v>
      </c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>
        <v>0</v>
      </c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>
        <v>0</v>
      </c>
      <c r="C65" s="89"/>
      <c r="D65" s="89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>
        <v>0</v>
      </c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>
        <v>0</v>
      </c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>
        <v>0</v>
      </c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>
        <v>0</v>
      </c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>
        <v>0</v>
      </c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>
        <v>0</v>
      </c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>
        <v>0</v>
      </c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>
        <v>0</v>
      </c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>
        <v>0</v>
      </c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>
        <v>0</v>
      </c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>
        <v>0</v>
      </c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>
        <v>0</v>
      </c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>
        <v>0</v>
      </c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/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/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/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/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/>
      <c r="C92" s="89"/>
      <c r="D92" s="89"/>
      <c r="E92" s="89"/>
      <c r="F92" s="89"/>
      <c r="G92" s="89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/>
      <c r="C93" s="89"/>
      <c r="D93" s="89"/>
      <c r="E93" s="89"/>
      <c r="F93" s="89"/>
      <c r="G93" s="89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/>
      <c r="C94" s="89"/>
      <c r="D94" s="89"/>
      <c r="E94" s="89"/>
      <c r="F94" s="89"/>
      <c r="G94" s="89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/>
      <c r="C95" s="89"/>
      <c r="D95" s="89"/>
      <c r="E95" s="89"/>
      <c r="F95" s="89"/>
      <c r="G95" s="89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/>
      <c r="C96" s="89"/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/>
      <c r="C100" s="89">
        <v>0</v>
      </c>
      <c r="D100" s="89"/>
      <c r="E100" s="89"/>
      <c r="F100" s="89"/>
      <c r="G100" s="89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/>
      <c r="C101" s="89">
        <v>0</v>
      </c>
      <c r="D101" s="89"/>
      <c r="E101" s="89"/>
      <c r="F101" s="89"/>
      <c r="G101" s="89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/>
      <c r="C102" s="89">
        <v>0</v>
      </c>
      <c r="D102" s="89"/>
      <c r="E102" s="89"/>
      <c r="F102" s="89"/>
      <c r="G102" s="89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/>
      <c r="C103" s="89">
        <v>0</v>
      </c>
      <c r="D103" s="89"/>
      <c r="E103" s="89"/>
      <c r="F103" s="89"/>
      <c r="G103" s="89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/>
      <c r="C104" s="89">
        <v>0</v>
      </c>
      <c r="D104" s="89"/>
      <c r="E104" s="89"/>
      <c r="F104" s="89"/>
      <c r="G104" s="89"/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/>
      <c r="C105" s="89"/>
      <c r="D105" s="89"/>
      <c r="E105" s="89"/>
      <c r="F105" s="89"/>
      <c r="G105" s="89"/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/>
      <c r="C106" s="89"/>
      <c r="D106" s="89"/>
      <c r="E106" s="89"/>
      <c r="F106" s="89"/>
      <c r="G106" s="89"/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/>
      <c r="C107" s="89"/>
      <c r="D107" s="89"/>
      <c r="E107" s="89"/>
      <c r="F107" s="89"/>
      <c r="G107" s="89"/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/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0</v>
      </c>
      <c r="C121" s="112">
        <f t="shared" si="0"/>
        <v>0</v>
      </c>
      <c r="D121" s="112">
        <f t="shared" si="0"/>
        <v>0</v>
      </c>
      <c r="E121" s="112">
        <f t="shared" si="0"/>
        <v>0</v>
      </c>
      <c r="F121" s="112">
        <f t="shared" si="0"/>
        <v>0</v>
      </c>
      <c r="G121" s="112">
        <f t="shared" si="0"/>
        <v>0</v>
      </c>
      <c r="H121" s="66"/>
      <c r="I121" s="66"/>
    </row>
    <row r="122" spans="1:9" ht="15" thickTop="1" x14ac:dyDescent="0.35">
      <c r="H122" s="66"/>
      <c r="I122" s="66"/>
    </row>
    <row r="123" spans="1:9" ht="20.25" customHeight="1" x14ac:dyDescent="0.35">
      <c r="A123" s="126" t="s">
        <v>2679</v>
      </c>
      <c r="H123" s="66"/>
      <c r="I123" s="66"/>
    </row>
    <row r="124" spans="1:9" x14ac:dyDescent="0.35">
      <c r="A124" s="126"/>
      <c r="H124" s="66"/>
      <c r="I124" s="66"/>
    </row>
    <row r="125" spans="1:9" hidden="1" x14ac:dyDescent="0.35">
      <c r="A125" s="66" t="s">
        <v>3438</v>
      </c>
      <c r="B125" s="89"/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/>
      <c r="C126" s="89">
        <v>0</v>
      </c>
      <c r="D126" s="89">
        <v>0</v>
      </c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/>
      <c r="C127" s="89">
        <v>0</v>
      </c>
      <c r="D127" s="89">
        <v>0</v>
      </c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/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/>
      <c r="C129" s="89"/>
      <c r="D129" s="89"/>
      <c r="E129" s="89"/>
      <c r="F129" s="89"/>
      <c r="G129" s="89"/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/>
      <c r="C130" s="89"/>
      <c r="D130" s="89"/>
      <c r="E130" s="89"/>
      <c r="F130" s="89"/>
      <c r="G130" s="89"/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/>
      <c r="C131" s="89"/>
      <c r="D131" s="89"/>
      <c r="E131" s="89"/>
      <c r="F131" s="89"/>
      <c r="G131" s="89"/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/>
      <c r="C132" s="89"/>
      <c r="D132" s="89"/>
      <c r="E132" s="89"/>
      <c r="F132" s="89"/>
      <c r="G132" s="89"/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/>
      <c r="C133" s="89"/>
      <c r="D133" s="89"/>
      <c r="E133" s="89"/>
      <c r="F133" s="89"/>
      <c r="G133" s="89"/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89"/>
      <c r="F135" s="89"/>
      <c r="G135" s="89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89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89"/>
      <c r="F173" s="89"/>
      <c r="G173" s="89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89"/>
      <c r="F178" s="89"/>
      <c r="G178" s="89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100</v>
      </c>
      <c r="C183" s="89">
        <v>100</v>
      </c>
      <c r="D183" s="235">
        <v>118.8</v>
      </c>
      <c r="E183" s="235">
        <v>200</v>
      </c>
      <c r="F183" s="235">
        <v>200</v>
      </c>
      <c r="G183" s="235">
        <v>200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151700</v>
      </c>
      <c r="C184" s="89">
        <v>151700</v>
      </c>
      <c r="D184" s="235">
        <v>143076.68</v>
      </c>
      <c r="E184" s="235">
        <v>153400</v>
      </c>
      <c r="F184" s="235">
        <v>159600</v>
      </c>
      <c r="G184" s="235">
        <v>166000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>
        <v>12000</v>
      </c>
      <c r="C185" s="89">
        <v>12000</v>
      </c>
      <c r="D185" s="235">
        <v>12000</v>
      </c>
      <c r="E185" s="235">
        <v>24000</v>
      </c>
      <c r="F185" s="235">
        <v>24000</v>
      </c>
      <c r="G185" s="235">
        <v>24000</v>
      </c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/>
      <c r="C186" s="89"/>
      <c r="D186" s="235"/>
      <c r="E186" s="234"/>
      <c r="F186" s="234"/>
      <c r="G186" s="234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235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235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235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235"/>
      <c r="E190" s="234"/>
      <c r="F190" s="234"/>
      <c r="G190" s="234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/>
      <c r="C191" s="89"/>
      <c r="D191" s="235"/>
      <c r="E191" s="234"/>
      <c r="F191" s="234"/>
      <c r="G191" s="234"/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235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1083300</v>
      </c>
      <c r="C193" s="89">
        <v>1083300</v>
      </c>
      <c r="D193" s="235">
        <v>1021976.28</v>
      </c>
      <c r="E193" s="235">
        <v>1095000</v>
      </c>
      <c r="F193" s="235">
        <v>1105600</v>
      </c>
      <c r="G193" s="235">
        <v>1177500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235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235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235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235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1500</v>
      </c>
      <c r="C198" s="89">
        <v>1500</v>
      </c>
      <c r="D198" s="235">
        <f>148.72*12</f>
        <v>1784.6399999999999</v>
      </c>
      <c r="E198" s="235">
        <v>2000</v>
      </c>
      <c r="F198" s="235">
        <v>2100</v>
      </c>
      <c r="G198" s="235">
        <v>2200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89"/>
      <c r="F201" s="89"/>
      <c r="G201" s="89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127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127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127"/>
      <c r="D211" s="89"/>
      <c r="E211" s="89"/>
      <c r="F211" s="89"/>
      <c r="G211" s="89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89"/>
      <c r="F212" s="89"/>
      <c r="G212" s="89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89"/>
      <c r="F213" s="89"/>
      <c r="G213" s="89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89"/>
      <c r="F214" s="89"/>
      <c r="G214" s="89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89"/>
      <c r="F216" s="89"/>
      <c r="G216" s="89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89"/>
      <c r="F225" s="89"/>
      <c r="G225" s="89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89"/>
      <c r="F226" s="89"/>
      <c r="G226" s="89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89"/>
      <c r="F227" s="89"/>
      <c r="G227" s="89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89"/>
      <c r="F228" s="89"/>
      <c r="G228" s="89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89"/>
      <c r="F232" s="89"/>
      <c r="G232" s="89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>
        <v>0</v>
      </c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>
        <v>0</v>
      </c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>
        <v>0</v>
      </c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>
        <v>0</v>
      </c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>
        <v>0</v>
      </c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>
        <v>0</v>
      </c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>
        <v>0</v>
      </c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>
        <v>0</v>
      </c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>
        <v>0</v>
      </c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>
        <v>0</v>
      </c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>
        <v>0</v>
      </c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>
        <v>0</v>
      </c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>
        <v>0</v>
      </c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>
        <v>0</v>
      </c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>
        <v>0</v>
      </c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>
        <v>0</v>
      </c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>
        <v>0</v>
      </c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>
        <v>0</v>
      </c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>
        <v>0</v>
      </c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>
        <v>0</v>
      </c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>
        <v>0</v>
      </c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>
        <v>0</v>
      </c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>
        <v>0</v>
      </c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>
        <v>0</v>
      </c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>
        <v>0</v>
      </c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/>
      <c r="C272" s="89"/>
      <c r="D272" s="89"/>
      <c r="E272" s="89"/>
      <c r="F272" s="89"/>
      <c r="G272" s="89"/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89"/>
      <c r="E275" s="89"/>
      <c r="F275" s="89"/>
      <c r="G275" s="89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89"/>
      <c r="E277" s="89"/>
      <c r="F277" s="89"/>
      <c r="G277" s="89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89"/>
      <c r="E278" s="89"/>
      <c r="F278" s="89"/>
      <c r="G278" s="89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/>
      <c r="D279" s="89"/>
      <c r="E279" s="89"/>
      <c r="F279" s="89"/>
      <c r="G279" s="89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89"/>
      <c r="E280" s="89"/>
      <c r="F280" s="89"/>
      <c r="G280" s="89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>
        <v>0</v>
      </c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8" ht="15" thickBot="1" x14ac:dyDescent="0.4">
      <c r="A290" s="117" t="s">
        <v>2546</v>
      </c>
      <c r="B290" s="112">
        <f t="shared" ref="B290:G290" si="1">SUM(B125:B288)</f>
        <v>1248600</v>
      </c>
      <c r="C290" s="112">
        <f t="shared" si="1"/>
        <v>1248600</v>
      </c>
      <c r="D290" s="112">
        <f t="shared" si="1"/>
        <v>1178956.3999999999</v>
      </c>
      <c r="E290" s="112">
        <f t="shared" si="1"/>
        <v>1274600</v>
      </c>
      <c r="F290" s="112">
        <f t="shared" si="1"/>
        <v>1291500</v>
      </c>
      <c r="G290" s="112">
        <f t="shared" si="1"/>
        <v>1369900</v>
      </c>
    </row>
    <row r="291" spans="1:8" ht="15" thickTop="1" x14ac:dyDescent="0.35"/>
    <row r="292" spans="1:8" ht="15" thickBot="1" x14ac:dyDescent="0.4">
      <c r="A292" s="117" t="s">
        <v>2674</v>
      </c>
      <c r="B292" s="112">
        <f t="shared" ref="B292:G292" si="2">+B121+B290</f>
        <v>1248600</v>
      </c>
      <c r="C292" s="112">
        <f t="shared" si="2"/>
        <v>1248600</v>
      </c>
      <c r="D292" s="112">
        <f t="shared" si="2"/>
        <v>1178956.3999999999</v>
      </c>
      <c r="E292" s="112">
        <f t="shared" si="2"/>
        <v>1274600</v>
      </c>
      <c r="F292" s="112">
        <f t="shared" si="2"/>
        <v>1291500</v>
      </c>
      <c r="G292" s="112">
        <f t="shared" si="2"/>
        <v>1369900</v>
      </c>
    </row>
    <row r="293" spans="1:8" ht="15" thickTop="1" x14ac:dyDescent="0.35"/>
    <row r="296" spans="1:8" x14ac:dyDescent="0.35">
      <c r="E296" s="114"/>
      <c r="F296" s="30"/>
      <c r="G296" s="30"/>
      <c r="H296" s="30"/>
    </row>
    <row r="297" spans="1:8" x14ac:dyDescent="0.35">
      <c r="E297" s="114"/>
      <c r="F297" s="30"/>
      <c r="G297" s="30"/>
      <c r="H297" s="30"/>
    </row>
    <row r="298" spans="1:8" x14ac:dyDescent="0.35">
      <c r="E298" s="114"/>
      <c r="F298" s="30"/>
      <c r="G298" s="30"/>
      <c r="H298" s="30"/>
    </row>
    <row r="299" spans="1:8" x14ac:dyDescent="0.35">
      <c r="E299" s="114"/>
      <c r="F299" s="30"/>
      <c r="G299" s="30"/>
      <c r="H299" s="30"/>
    </row>
    <row r="300" spans="1:8" x14ac:dyDescent="0.35">
      <c r="E300" s="114"/>
      <c r="F300" s="30"/>
      <c r="G300" s="30"/>
      <c r="H300" s="30"/>
    </row>
    <row r="301" spans="1:8" x14ac:dyDescent="0.35">
      <c r="E301" s="114"/>
      <c r="F301" s="30"/>
      <c r="G301" s="30"/>
      <c r="H301" s="30"/>
    </row>
    <row r="302" spans="1:8" x14ac:dyDescent="0.35">
      <c r="E302" s="114"/>
      <c r="F302" s="30"/>
      <c r="G302" s="30"/>
      <c r="H302" s="30"/>
    </row>
    <row r="303" spans="1:8" x14ac:dyDescent="0.35">
      <c r="E303" s="114"/>
      <c r="F303" s="30"/>
      <c r="G303" s="30"/>
      <c r="H303" s="30"/>
    </row>
    <row r="304" spans="1:8" x14ac:dyDescent="0.35">
      <c r="E304" s="114"/>
      <c r="F304" s="30"/>
      <c r="G304" s="30"/>
      <c r="H304" s="30"/>
    </row>
    <row r="305" spans="5:8" x14ac:dyDescent="0.35">
      <c r="E305" s="114"/>
      <c r="F305" s="30"/>
      <c r="G305" s="30"/>
      <c r="H305" s="30"/>
    </row>
    <row r="306" spans="5:8" x14ac:dyDescent="0.35">
      <c r="E306" s="30"/>
      <c r="F306" s="30"/>
      <c r="G306" s="30"/>
      <c r="H306" s="30"/>
    </row>
    <row r="307" spans="5:8" x14ac:dyDescent="0.35">
      <c r="E307" s="114"/>
      <c r="F307" s="30"/>
      <c r="G307" s="30"/>
      <c r="H307" s="30"/>
    </row>
    <row r="308" spans="5:8" x14ac:dyDescent="0.35">
      <c r="E308" s="114"/>
      <c r="F308" s="30"/>
      <c r="G308" s="30"/>
      <c r="H308" s="30"/>
    </row>
    <row r="309" spans="5:8" x14ac:dyDescent="0.35">
      <c r="E309" s="114"/>
      <c r="F309" s="30"/>
      <c r="G309" s="30"/>
      <c r="H309" s="30"/>
    </row>
    <row r="310" spans="5:8" x14ac:dyDescent="0.35">
      <c r="E310" s="114"/>
      <c r="F310" s="30"/>
      <c r="G310" s="30"/>
      <c r="H310" s="30"/>
    </row>
  </sheetData>
  <sortState xmlns:xlrd2="http://schemas.microsoft.com/office/spreadsheetml/2017/richdata2" ref="A125:I288">
    <sortCondition ref="A125:A288"/>
  </sortState>
  <pageMargins left="0.70866141732283472" right="0.70866141732283472" top="0.74803149606299213" bottom="0.74803149606299213" header="0.31496062992125984" footer="0.31496062992125984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>
    <tabColor theme="3"/>
    <pageSetUpPr fitToPage="1"/>
  </sheetPr>
  <dimension ref="A1:I293"/>
  <sheetViews>
    <sheetView topLeftCell="A5" zoomScale="69" zoomScaleNormal="69" workbookViewId="0">
      <selection activeCell="E157" sqref="E157:E159"/>
    </sheetView>
  </sheetViews>
  <sheetFormatPr defaultColWidth="9.1796875" defaultRowHeight="14.5" x14ac:dyDescent="0.35"/>
  <cols>
    <col min="1" max="1" width="61.36328125" style="113" customWidth="1"/>
    <col min="2" max="2" width="19.453125" style="113" customWidth="1"/>
    <col min="3" max="3" width="18.453125" style="111" customWidth="1"/>
    <col min="4" max="4" width="18.453125" style="113" customWidth="1"/>
    <col min="5" max="5" width="21.1796875" style="113" customWidth="1"/>
    <col min="6" max="6" width="20.1796875" style="113" customWidth="1"/>
    <col min="7" max="7" width="19.26953125" style="113" customWidth="1"/>
    <col min="8" max="8" width="36.54296875" style="113" customWidth="1"/>
    <col min="9" max="9" width="36.26953125" style="113" customWidth="1"/>
    <col min="10" max="16384" width="9.1796875" style="113"/>
  </cols>
  <sheetData>
    <row r="1" spans="1:9" ht="15" thickBot="1" x14ac:dyDescent="0.4">
      <c r="F1" s="117">
        <v>3</v>
      </c>
      <c r="G1" s="117"/>
    </row>
    <row r="2" spans="1:9" ht="29.5" thickBot="1" x14ac:dyDescent="0.4">
      <c r="A2" s="120" t="s">
        <v>2804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2677</v>
      </c>
      <c r="B4" s="114"/>
      <c r="C4" s="114"/>
      <c r="D4" s="114"/>
      <c r="E4" s="114"/>
      <c r="F4" s="139"/>
      <c r="G4" s="139"/>
      <c r="H4" s="30"/>
      <c r="I4" s="30"/>
    </row>
    <row r="5" spans="1:9" x14ac:dyDescent="0.35">
      <c r="A5" s="126"/>
      <c r="B5" s="114"/>
      <c r="C5" s="114"/>
      <c r="D5" s="114"/>
      <c r="E5" s="114"/>
      <c r="F5" s="139"/>
      <c r="G5" s="139"/>
      <c r="H5" s="30"/>
      <c r="I5" s="30"/>
    </row>
    <row r="6" spans="1:9" hidden="1" x14ac:dyDescent="0.35">
      <c r="A6" s="217" t="s">
        <v>3426</v>
      </c>
      <c r="B6" s="89"/>
      <c r="C6" s="89"/>
      <c r="D6" s="89"/>
      <c r="E6" s="89"/>
      <c r="F6" s="218"/>
      <c r="G6" s="218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x14ac:dyDescent="0.35">
      <c r="A25" s="66" t="s">
        <v>2825</v>
      </c>
      <c r="B25" s="89">
        <v>-2025100</v>
      </c>
      <c r="C25" s="89">
        <v>-2025100</v>
      </c>
      <c r="D25" s="235">
        <v>-2025100</v>
      </c>
      <c r="E25" s="235">
        <v>-2414200</v>
      </c>
      <c r="F25" s="235">
        <v>-2611900</v>
      </c>
      <c r="G25" s="235">
        <v>-2801100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235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235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235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235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235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235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235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235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235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235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235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235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235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235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235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235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235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235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235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235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235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235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x14ac:dyDescent="0.35">
      <c r="A48" s="66" t="s">
        <v>3416</v>
      </c>
      <c r="B48" s="89">
        <v>-18200</v>
      </c>
      <c r="C48" s="89">
        <v>-18200</v>
      </c>
      <c r="D48" s="235">
        <v>-17134</v>
      </c>
      <c r="E48" s="235">
        <v>-18200</v>
      </c>
      <c r="F48" s="235">
        <v>-19200</v>
      </c>
      <c r="G48" s="235">
        <v>-20300</v>
      </c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235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235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235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235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235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235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235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235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235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235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235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235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235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235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235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235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235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235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235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235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235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235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235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235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235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235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235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x14ac:dyDescent="0.35">
      <c r="A76" s="66" t="s">
        <v>2897</v>
      </c>
      <c r="B76" s="89">
        <v>-6000</v>
      </c>
      <c r="C76" s="89">
        <v>-6000</v>
      </c>
      <c r="D76" s="235">
        <v>-6000</v>
      </c>
      <c r="E76" s="235">
        <v>-6000</v>
      </c>
      <c r="F76" s="235">
        <v>-6000</v>
      </c>
      <c r="G76" s="235">
        <v>-6000</v>
      </c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/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/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/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/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/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/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/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/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/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/>
      <c r="C92" s="89"/>
      <c r="D92" s="89"/>
      <c r="E92" s="89"/>
      <c r="F92" s="89"/>
      <c r="G92" s="89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/>
      <c r="C93" s="89"/>
      <c r="D93" s="89"/>
      <c r="E93" s="89"/>
      <c r="F93" s="89"/>
      <c r="G93" s="89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/>
      <c r="C94" s="89"/>
      <c r="D94" s="89"/>
      <c r="E94" s="89"/>
      <c r="F94" s="89"/>
      <c r="G94" s="89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/>
      <c r="C95" s="89"/>
      <c r="D95" s="89"/>
      <c r="E95" s="89"/>
      <c r="F95" s="89"/>
      <c r="G95" s="89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/>
      <c r="C96" s="89"/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/>
      <c r="C100" s="89"/>
      <c r="D100" s="89"/>
      <c r="E100" s="89"/>
      <c r="F100" s="89"/>
      <c r="G100" s="89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/>
      <c r="C101" s="89"/>
      <c r="D101" s="89"/>
      <c r="E101" s="89"/>
      <c r="F101" s="89"/>
      <c r="G101" s="89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/>
      <c r="C102" s="89"/>
      <c r="D102" s="89"/>
      <c r="E102" s="89"/>
      <c r="F102" s="89"/>
      <c r="G102" s="89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/>
      <c r="C103" s="89"/>
      <c r="D103" s="89"/>
      <c r="E103" s="89"/>
      <c r="F103" s="89"/>
      <c r="G103" s="89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/>
      <c r="C104" s="89"/>
      <c r="D104" s="89"/>
      <c r="E104" s="89"/>
      <c r="F104" s="89"/>
      <c r="G104" s="89"/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/>
      <c r="C105" s="89"/>
      <c r="D105" s="89"/>
      <c r="E105" s="89"/>
      <c r="F105" s="89"/>
      <c r="G105" s="89"/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/>
      <c r="C106" s="89"/>
      <c r="D106" s="89"/>
      <c r="E106" s="89"/>
      <c r="F106" s="89"/>
      <c r="G106" s="89"/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/>
      <c r="C107" s="89"/>
      <c r="D107" s="89"/>
      <c r="E107" s="89"/>
      <c r="F107" s="89"/>
      <c r="G107" s="89"/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/>
      <c r="C108" s="89"/>
      <c r="D108" s="89"/>
      <c r="E108" s="89"/>
      <c r="F108" s="89"/>
      <c r="G108" s="89"/>
      <c r="H108" s="66" t="str">
        <f>VLOOKUP(A108,'Tot KPA'!A:H,8,0)</f>
        <v>Other revenue</v>
      </c>
      <c r="I108" s="66">
        <f>VLOOKUP(A108,'Tot KPA'!A:I,9,0)</f>
        <v>0</v>
      </c>
    </row>
    <row r="109" spans="1:9" x14ac:dyDescent="0.35">
      <c r="A109" s="66" t="s">
        <v>2944</v>
      </c>
      <c r="B109" s="89">
        <v>-3000</v>
      </c>
      <c r="C109" s="89">
        <v>-2000</v>
      </c>
      <c r="D109" s="235">
        <v>0</v>
      </c>
      <c r="E109" s="235">
        <v>-1000</v>
      </c>
      <c r="F109" s="235">
        <v>-1000</v>
      </c>
      <c r="G109" s="235">
        <v>-1000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-2052300</v>
      </c>
      <c r="C121" s="112">
        <f t="shared" si="0"/>
        <v>-2051300</v>
      </c>
      <c r="D121" s="112">
        <f t="shared" si="0"/>
        <v>-2048234</v>
      </c>
      <c r="E121" s="112">
        <f t="shared" si="0"/>
        <v>-2439400</v>
      </c>
      <c r="F121" s="112">
        <f t="shared" si="0"/>
        <v>-2638100</v>
      </c>
      <c r="G121" s="112">
        <f t="shared" si="0"/>
        <v>-2828400</v>
      </c>
      <c r="H121" s="66"/>
      <c r="I121" s="66"/>
    </row>
    <row r="122" spans="1:9" ht="15" thickTop="1" x14ac:dyDescent="0.35">
      <c r="H122" s="66"/>
      <c r="I122" s="66"/>
    </row>
    <row r="123" spans="1:9" x14ac:dyDescent="0.35">
      <c r="A123" s="126" t="s">
        <v>2816</v>
      </c>
      <c r="H123" s="66"/>
      <c r="I123" s="66"/>
    </row>
    <row r="124" spans="1:9" x14ac:dyDescent="0.35">
      <c r="A124" s="126"/>
      <c r="H124" s="66"/>
      <c r="I124" s="66"/>
    </row>
    <row r="125" spans="1:9" hidden="1" x14ac:dyDescent="0.35">
      <c r="A125" s="66" t="s">
        <v>3438</v>
      </c>
      <c r="B125" s="89">
        <v>57000</v>
      </c>
      <c r="C125" s="89">
        <v>57000</v>
      </c>
      <c r="D125" s="235">
        <v>52500</v>
      </c>
      <c r="E125" s="235">
        <v>57000</v>
      </c>
      <c r="F125" s="235">
        <v>60000</v>
      </c>
      <c r="G125" s="235">
        <v>63300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/>
      <c r="C126" s="89"/>
      <c r="D126" s="89"/>
      <c r="E126" s="89"/>
      <c r="F126" s="89"/>
      <c r="G126" s="89"/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/>
      <c r="C127" s="89"/>
      <c r="D127" s="89"/>
      <c r="E127" s="89"/>
      <c r="F127" s="89"/>
      <c r="G127" s="89"/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/>
      <c r="C128" s="89"/>
      <c r="D128" s="89"/>
      <c r="E128" s="89"/>
      <c r="F128" s="89"/>
      <c r="G128" s="89"/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/>
      <c r="C129" s="89"/>
      <c r="D129" s="89"/>
      <c r="E129" s="89"/>
      <c r="F129" s="89"/>
      <c r="G129" s="89"/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/>
      <c r="C130" s="89"/>
      <c r="D130" s="89"/>
      <c r="E130" s="89"/>
      <c r="F130" s="89"/>
      <c r="G130" s="89"/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/>
      <c r="C131" s="89"/>
      <c r="D131" s="89"/>
      <c r="E131" s="89"/>
      <c r="F131" s="89"/>
      <c r="G131" s="89"/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/>
      <c r="C132" s="89"/>
      <c r="D132" s="89"/>
      <c r="E132" s="89"/>
      <c r="F132" s="89"/>
      <c r="G132" s="89"/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/>
      <c r="C133" s="89"/>
      <c r="D133" s="89"/>
      <c r="E133" s="89"/>
      <c r="F133" s="89"/>
      <c r="G133" s="89"/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89"/>
      <c r="F135" s="89"/>
      <c r="G135" s="89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40000</v>
      </c>
      <c r="C140" s="89">
        <v>40000</v>
      </c>
      <c r="D140" s="235">
        <v>11516.67</v>
      </c>
      <c r="E140" s="235">
        <v>12000</v>
      </c>
      <c r="F140" s="235">
        <v>12000</v>
      </c>
      <c r="G140" s="235">
        <v>12000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235"/>
      <c r="E153" s="235">
        <v>420000</v>
      </c>
      <c r="F153" s="235">
        <v>350000</v>
      </c>
      <c r="G153" s="235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x14ac:dyDescent="0.35">
      <c r="A157" s="66" t="s">
        <v>3012</v>
      </c>
      <c r="B157" s="89">
        <v>1560000</v>
      </c>
      <c r="C157" s="89">
        <v>1560000</v>
      </c>
      <c r="D157" s="235">
        <v>1530547.64</v>
      </c>
      <c r="E157" s="235">
        <v>1650000</v>
      </c>
      <c r="F157" s="235">
        <f>+E157*1.04</f>
        <v>1716000</v>
      </c>
      <c r="G157" s="235">
        <v>1790000</v>
      </c>
      <c r="H157" s="66" t="str">
        <f>VLOOKUP(A157,'Tot KPA'!A:H,8,0)</f>
        <v>Remuneration of councillors</v>
      </c>
      <c r="I157" s="66">
        <f>VLOOKUP(A157,'Tot KPA'!A:I,9,0)</f>
        <v>0</v>
      </c>
    </row>
    <row r="158" spans="1:9" x14ac:dyDescent="0.35">
      <c r="A158" s="66" t="s">
        <v>3010</v>
      </c>
      <c r="B158" s="89">
        <v>244800</v>
      </c>
      <c r="C158" s="89">
        <v>244800</v>
      </c>
      <c r="D158" s="235">
        <v>244800</v>
      </c>
      <c r="E158" s="235">
        <v>244800</v>
      </c>
      <c r="F158" s="235">
        <f>+E158</f>
        <v>244800</v>
      </c>
      <c r="G158" s="235">
        <f>+F158</f>
        <v>244800</v>
      </c>
      <c r="H158" s="66" t="str">
        <f>VLOOKUP(A158,'Tot KPA'!A:H,8,0)</f>
        <v>Remuneration of councillors</v>
      </c>
      <c r="I158" s="66">
        <f>VLOOKUP(A158,'Tot KPA'!A:I,9,0)</f>
        <v>0</v>
      </c>
    </row>
    <row r="159" spans="1:9" x14ac:dyDescent="0.35">
      <c r="A159" s="66" t="s">
        <v>3013</v>
      </c>
      <c r="B159" s="89">
        <f>300*12</f>
        <v>3600</v>
      </c>
      <c r="C159" s="89">
        <f>300*12</f>
        <v>3600</v>
      </c>
      <c r="D159" s="235">
        <v>18000</v>
      </c>
      <c r="E159" s="235">
        <v>18000</v>
      </c>
      <c r="F159" s="235">
        <v>18000</v>
      </c>
      <c r="G159" s="235">
        <v>18000</v>
      </c>
      <c r="H159" s="66" t="str">
        <f>VLOOKUP(A159,'Tot KPA'!A:H,8,0)</f>
        <v>Remuneration of councillors</v>
      </c>
      <c r="I159" s="66">
        <f>VLOOKUP(A159,'Tot KPA'!A:I,9,0)</f>
        <v>0</v>
      </c>
    </row>
    <row r="160" spans="1:9" x14ac:dyDescent="0.35">
      <c r="A160" s="66" t="s">
        <v>3011</v>
      </c>
      <c r="B160" s="89">
        <v>0</v>
      </c>
      <c r="C160" s="89">
        <v>0</v>
      </c>
      <c r="D160" s="89"/>
      <c r="E160" s="234">
        <v>0</v>
      </c>
      <c r="F160" s="234">
        <v>0</v>
      </c>
      <c r="G160" s="234">
        <v>0</v>
      </c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89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>
        <v>2000</v>
      </c>
      <c r="C172" s="89"/>
      <c r="D172" s="235">
        <v>0</v>
      </c>
      <c r="E172" s="235">
        <v>0</v>
      </c>
      <c r="F172" s="235">
        <v>0</v>
      </c>
      <c r="G172" s="235">
        <v>0</v>
      </c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3420</v>
      </c>
      <c r="B173" s="89">
        <v>20000</v>
      </c>
      <c r="C173" s="89"/>
      <c r="D173" s="235">
        <v>0</v>
      </c>
      <c r="E173" s="235">
        <v>0</v>
      </c>
      <c r="F173" s="235">
        <v>0</v>
      </c>
      <c r="G173" s="235">
        <v>0</v>
      </c>
      <c r="H173" s="66" t="e">
        <f>VLOOKUP(A173,'Tot KPA'!A:H,8,0)</f>
        <v>#N/A</v>
      </c>
      <c r="I173" s="66" t="e">
        <f>VLOOKUP(A173,'Tot KPA'!A:I,9,0)</f>
        <v>#N/A</v>
      </c>
    </row>
    <row r="174" spans="1:9" hidden="1" x14ac:dyDescent="0.35">
      <c r="A174" s="66" t="s">
        <v>3422</v>
      </c>
      <c r="B174" s="89">
        <v>4000</v>
      </c>
      <c r="C174" s="89"/>
      <c r="D174" s="235">
        <v>0</v>
      </c>
      <c r="E174" s="235">
        <v>0</v>
      </c>
      <c r="F174" s="235">
        <v>0</v>
      </c>
      <c r="G174" s="235">
        <v>0</v>
      </c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>
        <v>45000</v>
      </c>
      <c r="C175" s="89"/>
      <c r="D175" s="235">
        <v>0</v>
      </c>
      <c r="E175" s="235">
        <v>0</v>
      </c>
      <c r="F175" s="235">
        <v>0</v>
      </c>
      <c r="G175" s="235">
        <v>0</v>
      </c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>
        <v>24000</v>
      </c>
      <c r="C176" s="89"/>
      <c r="D176" s="235">
        <v>0</v>
      </c>
      <c r="E176" s="235">
        <v>0</v>
      </c>
      <c r="F176" s="235">
        <v>0</v>
      </c>
      <c r="G176" s="235">
        <v>0</v>
      </c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>
        <v>6000</v>
      </c>
      <c r="C177" s="89"/>
      <c r="D177" s="235">
        <v>0</v>
      </c>
      <c r="E177" s="235">
        <v>0</v>
      </c>
      <c r="F177" s="235">
        <v>0</v>
      </c>
      <c r="G177" s="235">
        <v>0</v>
      </c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3397</v>
      </c>
      <c r="B178" s="89">
        <v>20000</v>
      </c>
      <c r="C178" s="89"/>
      <c r="D178" s="235">
        <v>0</v>
      </c>
      <c r="E178" s="235">
        <v>0</v>
      </c>
      <c r="F178" s="235">
        <v>0</v>
      </c>
      <c r="G178" s="235">
        <v>0</v>
      </c>
      <c r="H178" s="66" t="e">
        <f>VLOOKUP(A178,'Tot KPA'!A:H,8,0)</f>
        <v>#N/A</v>
      </c>
      <c r="I178" s="66" t="e">
        <f>VLOOKUP(A178,'Tot KPA'!A:I,9,0)</f>
        <v>#N/A</v>
      </c>
    </row>
    <row r="179" spans="1:9" hidden="1" x14ac:dyDescent="0.35">
      <c r="A179" s="66" t="s">
        <v>2883</v>
      </c>
      <c r="B179" s="89">
        <v>20000</v>
      </c>
      <c r="C179" s="89"/>
      <c r="D179" s="235">
        <v>0</v>
      </c>
      <c r="E179" s="235">
        <v>0</v>
      </c>
      <c r="F179" s="235">
        <v>0</v>
      </c>
      <c r="G179" s="235">
        <v>0</v>
      </c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>
        <v>20000</v>
      </c>
      <c r="C180" s="89"/>
      <c r="D180" s="235">
        <v>0</v>
      </c>
      <c r="E180" s="235">
        <v>0</v>
      </c>
      <c r="F180" s="235">
        <v>0</v>
      </c>
      <c r="G180" s="235">
        <v>0</v>
      </c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9" hidden="1" x14ac:dyDescent="0.35">
      <c r="A183" s="66" t="s">
        <v>2901</v>
      </c>
      <c r="B183" s="89">
        <v>100</v>
      </c>
      <c r="C183" s="89">
        <v>100</v>
      </c>
      <c r="D183" s="235">
        <v>168.3</v>
      </c>
      <c r="E183" s="235">
        <v>300</v>
      </c>
      <c r="F183" s="235">
        <v>300</v>
      </c>
      <c r="G183" s="235">
        <v>400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hidden="1" x14ac:dyDescent="0.35">
      <c r="A184" s="66" t="s">
        <v>2902</v>
      </c>
      <c r="B184" s="89">
        <v>0</v>
      </c>
      <c r="C184" s="89">
        <v>0</v>
      </c>
      <c r="D184" s="89"/>
      <c r="E184" s="234">
        <v>0</v>
      </c>
      <c r="F184" s="234">
        <v>0</v>
      </c>
      <c r="G184" s="234">
        <v>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hidden="1" x14ac:dyDescent="0.35">
      <c r="A185" s="66" t="s">
        <v>2903</v>
      </c>
      <c r="B185" s="89"/>
      <c r="C185" s="89"/>
      <c r="D185" s="89"/>
      <c r="E185" s="234"/>
      <c r="F185" s="234"/>
      <c r="G185" s="234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/>
      <c r="C186" s="89"/>
      <c r="D186" s="89"/>
      <c r="E186" s="234"/>
      <c r="F186" s="234"/>
      <c r="G186" s="234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89"/>
      <c r="E190" s="234"/>
      <c r="F190" s="234"/>
      <c r="G190" s="234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/>
      <c r="C191" s="89"/>
      <c r="D191" s="89"/>
      <c r="E191" s="234"/>
      <c r="F191" s="234"/>
      <c r="G191" s="234"/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89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hidden="1" x14ac:dyDescent="0.35">
      <c r="A193" s="66" t="s">
        <v>2906</v>
      </c>
      <c r="B193" s="89">
        <v>168500</v>
      </c>
      <c r="C193" s="89">
        <v>168500</v>
      </c>
      <c r="D193" s="235">
        <v>337000</v>
      </c>
      <c r="E193" s="235">
        <v>337000</v>
      </c>
      <c r="F193" s="235">
        <v>350500</v>
      </c>
      <c r="G193" s="235">
        <v>364600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hidden="1" x14ac:dyDescent="0.35">
      <c r="A198" s="66" t="s">
        <v>2910</v>
      </c>
      <c r="B198" s="89">
        <v>1500</v>
      </c>
      <c r="C198" s="89">
        <v>1500</v>
      </c>
      <c r="D198" s="235">
        <v>2121.11</v>
      </c>
      <c r="E198" s="235">
        <v>3000</v>
      </c>
      <c r="F198" s="235">
        <v>3200</v>
      </c>
      <c r="G198" s="235">
        <v>3300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>
        <v>4000</v>
      </c>
      <c r="C201" s="89">
        <v>4000</v>
      </c>
      <c r="D201" s="235">
        <v>1994</v>
      </c>
      <c r="E201" s="235">
        <v>2000</v>
      </c>
      <c r="F201" s="235">
        <v>2000</v>
      </c>
      <c r="G201" s="235">
        <v>2000</v>
      </c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89"/>
      <c r="F211" s="89"/>
      <c r="G211" s="89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89"/>
      <c r="F212" s="89"/>
      <c r="G212" s="89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89"/>
      <c r="F213" s="89"/>
      <c r="G213" s="89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89"/>
      <c r="F214" s="89"/>
      <c r="G214" s="89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>
        <v>255000</v>
      </c>
      <c r="C216" s="89">
        <v>255000</v>
      </c>
      <c r="D216" s="235">
        <v>279000</v>
      </c>
      <c r="E216" s="235">
        <v>295000</v>
      </c>
      <c r="F216" s="235">
        <v>308600</v>
      </c>
      <c r="G216" s="235">
        <v>322800</v>
      </c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89"/>
      <c r="F225" s="89"/>
      <c r="G225" s="89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89"/>
      <c r="F226" s="89"/>
      <c r="G226" s="89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89"/>
      <c r="F227" s="89"/>
      <c r="G227" s="89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89"/>
      <c r="F228" s="89"/>
      <c r="G228" s="89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89"/>
      <c r="F232" s="89"/>
      <c r="G232" s="89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>
        <v>3500</v>
      </c>
      <c r="C238" s="89"/>
      <c r="D238" s="235">
        <v>0</v>
      </c>
      <c r="E238" s="235">
        <v>0</v>
      </c>
      <c r="F238" s="235">
        <v>0</v>
      </c>
      <c r="G238" s="235">
        <v>0</v>
      </c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>
        <v>3500</v>
      </c>
      <c r="C239" s="89"/>
      <c r="D239" s="235">
        <v>0</v>
      </c>
      <c r="E239" s="235">
        <v>0</v>
      </c>
      <c r="F239" s="235">
        <v>0</v>
      </c>
      <c r="G239" s="235">
        <v>0</v>
      </c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>
        <v>3500</v>
      </c>
      <c r="C240" s="89"/>
      <c r="D240" s="235">
        <v>0</v>
      </c>
      <c r="E240" s="235">
        <v>0</v>
      </c>
      <c r="F240" s="235">
        <v>0</v>
      </c>
      <c r="G240" s="235">
        <v>0</v>
      </c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>
        <v>3500</v>
      </c>
      <c r="C241" s="89"/>
      <c r="D241" s="235">
        <v>0</v>
      </c>
      <c r="E241" s="235">
        <v>0</v>
      </c>
      <c r="F241" s="235">
        <v>0</v>
      </c>
      <c r="G241" s="235">
        <v>0</v>
      </c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>
        <v>3500</v>
      </c>
      <c r="C242" s="89"/>
      <c r="D242" s="235">
        <v>0</v>
      </c>
      <c r="E242" s="235">
        <v>0</v>
      </c>
      <c r="F242" s="235">
        <v>0</v>
      </c>
      <c r="G242" s="235">
        <v>0</v>
      </c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>
        <v>3500</v>
      </c>
      <c r="C243" s="89"/>
      <c r="D243" s="235">
        <v>0</v>
      </c>
      <c r="E243" s="235">
        <v>0</v>
      </c>
      <c r="F243" s="235">
        <v>0</v>
      </c>
      <c r="G243" s="235">
        <v>0</v>
      </c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>
        <v>3500</v>
      </c>
      <c r="C244" s="89"/>
      <c r="D244" s="235">
        <v>0</v>
      </c>
      <c r="E244" s="235">
        <v>0</v>
      </c>
      <c r="F244" s="235">
        <v>0</v>
      </c>
      <c r="G244" s="235">
        <v>0</v>
      </c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>
        <v>3500</v>
      </c>
      <c r="C245" s="89"/>
      <c r="D245" s="235">
        <v>0</v>
      </c>
      <c r="E245" s="235">
        <v>0</v>
      </c>
      <c r="F245" s="235">
        <v>0</v>
      </c>
      <c r="G245" s="235">
        <v>0</v>
      </c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>
        <v>3500</v>
      </c>
      <c r="C246" s="89"/>
      <c r="D246" s="235">
        <v>0</v>
      </c>
      <c r="E246" s="235">
        <v>0</v>
      </c>
      <c r="F246" s="235">
        <v>0</v>
      </c>
      <c r="G246" s="235">
        <v>0</v>
      </c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>
        <v>3500</v>
      </c>
      <c r="C247" s="89"/>
      <c r="D247" s="235">
        <v>0</v>
      </c>
      <c r="E247" s="235">
        <v>0</v>
      </c>
      <c r="F247" s="235">
        <v>0</v>
      </c>
      <c r="G247" s="235">
        <v>0</v>
      </c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>
        <v>3500</v>
      </c>
      <c r="C248" s="89"/>
      <c r="D248" s="235">
        <v>0</v>
      </c>
      <c r="E248" s="235">
        <v>0</v>
      </c>
      <c r="F248" s="235">
        <v>0</v>
      </c>
      <c r="G248" s="235">
        <v>0</v>
      </c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>
        <v>3500</v>
      </c>
      <c r="C249" s="89"/>
      <c r="D249" s="235">
        <v>0</v>
      </c>
      <c r="E249" s="235">
        <v>0</v>
      </c>
      <c r="F249" s="235">
        <v>0</v>
      </c>
      <c r="G249" s="235">
        <v>0</v>
      </c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>
        <v>572000</v>
      </c>
      <c r="C264" s="89">
        <f>572000-72000</f>
        <v>500000</v>
      </c>
      <c r="D264" s="235">
        <v>510715.2</v>
      </c>
      <c r="E264" s="235">
        <v>560000</v>
      </c>
      <c r="F264" s="235">
        <v>560000</v>
      </c>
      <c r="G264" s="235">
        <v>560000</v>
      </c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>
        <v>18900</v>
      </c>
      <c r="C271" s="89">
        <v>18900</v>
      </c>
      <c r="D271" s="235">
        <v>24412.68</v>
      </c>
      <c r="E271" s="235">
        <v>25600</v>
      </c>
      <c r="F271" s="235">
        <v>26800</v>
      </c>
      <c r="G271" s="235">
        <v>28100</v>
      </c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v>25600</v>
      </c>
      <c r="C272" s="89">
        <v>25600</v>
      </c>
      <c r="D272" s="235">
        <v>25900</v>
      </c>
      <c r="E272" s="235">
        <v>26900</v>
      </c>
      <c r="F272" s="235">
        <v>28000</v>
      </c>
      <c r="G272" s="235">
        <v>29200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>
        <v>22000</v>
      </c>
      <c r="C275" s="89">
        <v>22000</v>
      </c>
      <c r="D275" s="235">
        <v>19550</v>
      </c>
      <c r="E275" s="235">
        <v>22000</v>
      </c>
      <c r="F275" s="235">
        <v>23200</v>
      </c>
      <c r="G275" s="235">
        <v>24500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234"/>
      <c r="E276" s="235"/>
      <c r="F276" s="235"/>
      <c r="G276" s="235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234"/>
      <c r="E277" s="235"/>
      <c r="F277" s="235"/>
      <c r="G277" s="235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234"/>
      <c r="E278" s="235"/>
      <c r="F278" s="235"/>
      <c r="G278" s="235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234"/>
      <c r="E279" s="235"/>
      <c r="F279" s="235"/>
      <c r="G279" s="235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>
        <v>190000</v>
      </c>
      <c r="C280" s="89">
        <v>190000</v>
      </c>
      <c r="D280" s="235">
        <v>195123.47</v>
      </c>
      <c r="E280" s="235">
        <v>190000</v>
      </c>
      <c r="F280" s="235">
        <v>200300</v>
      </c>
      <c r="G280" s="235">
        <v>211200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/>
      <c r="C281" s="89"/>
      <c r="D281" s="89"/>
      <c r="E281" s="89"/>
      <c r="F281" s="89"/>
      <c r="G281" s="89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/>
      <c r="C282" s="89"/>
      <c r="D282" s="89"/>
      <c r="E282" s="89"/>
      <c r="F282" s="89"/>
      <c r="G282" s="89"/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/>
      <c r="C283" s="89"/>
      <c r="D283" s="89"/>
      <c r="E283" s="89"/>
      <c r="F283" s="89"/>
      <c r="G283" s="89"/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280000</v>
      </c>
      <c r="C284" s="89">
        <f>280000-28000-32000</f>
        <v>220000</v>
      </c>
      <c r="D284" s="235">
        <v>214500</v>
      </c>
      <c r="E284" s="235">
        <v>280000</v>
      </c>
      <c r="F284" s="235">
        <f>+E284</f>
        <v>280000</v>
      </c>
      <c r="G284" s="235">
        <f>+F284</f>
        <v>280000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/>
      <c r="D285" s="89"/>
      <c r="E285" s="89"/>
      <c r="F285" s="89"/>
      <c r="G285" s="89"/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89" spans="1:7" x14ac:dyDescent="0.35">
      <c r="A289" s="111"/>
      <c r="B289" s="111"/>
      <c r="D289" s="111"/>
      <c r="E289" s="111"/>
      <c r="F289" s="111"/>
      <c r="G289" s="111"/>
    </row>
    <row r="290" spans="1:7" ht="15" thickBot="1" x14ac:dyDescent="0.4">
      <c r="A290" s="117" t="s">
        <v>2546</v>
      </c>
      <c r="B290" s="112">
        <f t="shared" ref="B290:G290" si="1">SUM(B125:B288)</f>
        <v>3646000</v>
      </c>
      <c r="C290" s="112">
        <f t="shared" si="1"/>
        <v>3311000</v>
      </c>
      <c r="D290" s="112">
        <f t="shared" si="1"/>
        <v>3467849.0700000003</v>
      </c>
      <c r="E290" s="112">
        <f t="shared" si="1"/>
        <v>4143600</v>
      </c>
      <c r="F290" s="112">
        <f t="shared" si="1"/>
        <v>4183700</v>
      </c>
      <c r="G290" s="112">
        <f t="shared" si="1"/>
        <v>3954200</v>
      </c>
    </row>
    <row r="291" spans="1:7" ht="15" thickTop="1" x14ac:dyDescent="0.35">
      <c r="B291" s="111"/>
      <c r="D291" s="111"/>
      <c r="E291" s="111"/>
      <c r="F291" s="111"/>
      <c r="G291" s="111"/>
    </row>
    <row r="292" spans="1:7" ht="15" thickBot="1" x14ac:dyDescent="0.4">
      <c r="A292" s="117" t="s">
        <v>2674</v>
      </c>
      <c r="B292" s="112">
        <f t="shared" ref="B292:G292" si="2">+B121+B290</f>
        <v>1593700</v>
      </c>
      <c r="C292" s="112">
        <f t="shared" si="2"/>
        <v>1259700</v>
      </c>
      <c r="D292" s="112">
        <f t="shared" si="2"/>
        <v>1419615.0700000003</v>
      </c>
      <c r="E292" s="112">
        <f t="shared" si="2"/>
        <v>1704200</v>
      </c>
      <c r="F292" s="112">
        <f t="shared" si="2"/>
        <v>1545600</v>
      </c>
      <c r="G292" s="112">
        <f t="shared" si="2"/>
        <v>1125800</v>
      </c>
    </row>
    <row r="293" spans="1:7" ht="15" thickTop="1" x14ac:dyDescent="0.35">
      <c r="A293" s="111"/>
      <c r="B293" s="111"/>
      <c r="D293" s="111"/>
      <c r="E293" s="111"/>
      <c r="F293" s="111"/>
      <c r="G293" s="111"/>
    </row>
  </sheetData>
  <autoFilter ref="F124:H288" xr:uid="{01E0A44A-350D-4EA8-92D6-D83B66C49932}">
    <filterColumn colId="2">
      <filters>
        <filter val="Remuneration of councillors"/>
      </filters>
    </filterColumn>
  </autoFilter>
  <sortState xmlns:xlrd2="http://schemas.microsoft.com/office/spreadsheetml/2017/richdata2" ref="A125:I288">
    <sortCondition ref="A125:A288"/>
  </sortState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/>
    <pageSetUpPr fitToPage="1"/>
  </sheetPr>
  <dimension ref="A1:I300"/>
  <sheetViews>
    <sheetView zoomScale="69" zoomScaleNormal="69" workbookViewId="0">
      <selection activeCell="E157" sqref="E157:E159"/>
    </sheetView>
  </sheetViews>
  <sheetFormatPr defaultColWidth="9.1796875" defaultRowHeight="14.5" x14ac:dyDescent="0.35"/>
  <cols>
    <col min="1" max="1" width="61.36328125" style="113" customWidth="1"/>
    <col min="2" max="2" width="19.453125" style="113" customWidth="1"/>
    <col min="3" max="3" width="18.453125" style="111" customWidth="1"/>
    <col min="4" max="4" width="18.453125" style="113" customWidth="1"/>
    <col min="5" max="5" width="21.1796875" style="113" customWidth="1"/>
    <col min="6" max="6" width="20.1796875" style="113" customWidth="1"/>
    <col min="7" max="7" width="19.26953125" style="113" customWidth="1"/>
    <col min="8" max="8" width="36.54296875" style="113" customWidth="1"/>
    <col min="9" max="9" width="36.26953125" style="113" customWidth="1"/>
    <col min="10" max="16384" width="9.1796875" style="113"/>
  </cols>
  <sheetData>
    <row r="1" spans="1:9" ht="15" thickBot="1" x14ac:dyDescent="0.4">
      <c r="F1" s="117">
        <v>4</v>
      </c>
      <c r="G1" s="117"/>
    </row>
    <row r="2" spans="1:9" ht="29.5" thickBot="1" x14ac:dyDescent="0.4">
      <c r="A2" s="120" t="s">
        <v>2804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2677</v>
      </c>
      <c r="B4" s="114"/>
      <c r="C4" s="114"/>
      <c r="D4" s="114"/>
      <c r="E4" s="114"/>
      <c r="F4" s="139"/>
      <c r="G4" s="139"/>
      <c r="H4" s="30"/>
      <c r="I4" s="30"/>
    </row>
    <row r="5" spans="1:9" x14ac:dyDescent="0.35">
      <c r="A5" s="126"/>
      <c r="B5" s="114"/>
      <c r="C5" s="114"/>
      <c r="D5" s="114"/>
      <c r="E5" s="114"/>
      <c r="F5" s="139"/>
      <c r="G5" s="139"/>
      <c r="H5" s="30"/>
      <c r="I5" s="30"/>
    </row>
    <row r="6" spans="1:9" hidden="1" x14ac:dyDescent="0.35">
      <c r="A6" s="217" t="s">
        <v>3426</v>
      </c>
      <c r="B6" s="89"/>
      <c r="C6" s="89"/>
      <c r="D6" s="89"/>
      <c r="E6" s="89"/>
      <c r="F6" s="218"/>
      <c r="G6" s="218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/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/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/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/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/>
      <c r="C25" s="89"/>
      <c r="D25" s="89">
        <f>+E25/12*9</f>
        <v>0</v>
      </c>
      <c r="E25" s="89"/>
      <c r="F25" s="89"/>
      <c r="G25" s="89"/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89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>
        <v>0</v>
      </c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>
        <v>0</v>
      </c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>
        <v>0</v>
      </c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>
        <v>0</v>
      </c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>
        <v>0</v>
      </c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>
        <v>0</v>
      </c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>
        <v>0</v>
      </c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>
        <v>0</v>
      </c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>
        <v>0</v>
      </c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>
        <v>0</v>
      </c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>
        <v>0</v>
      </c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>
        <v>0</v>
      </c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>
        <v>0</v>
      </c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>
        <v>0</v>
      </c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>
        <v>0</v>
      </c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>
        <v>0</v>
      </c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>
        <v>0</v>
      </c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>
        <v>0</v>
      </c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>
        <v>0</v>
      </c>
      <c r="C65" s="89"/>
      <c r="D65" s="89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/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/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/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/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/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/>
      <c r="D92" s="89"/>
      <c r="E92" s="89"/>
      <c r="F92" s="89"/>
      <c r="G92" s="89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>
        <v>0</v>
      </c>
      <c r="C93" s="89"/>
      <c r="D93" s="89"/>
      <c r="E93" s="89"/>
      <c r="F93" s="89"/>
      <c r="G93" s="89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/>
      <c r="D94" s="89"/>
      <c r="E94" s="89"/>
      <c r="F94" s="89"/>
      <c r="G94" s="89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/>
      <c r="D95" s="89"/>
      <c r="E95" s="89"/>
      <c r="F95" s="89"/>
      <c r="G95" s="89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/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/>
      <c r="D100" s="89"/>
      <c r="E100" s="89"/>
      <c r="F100" s="89"/>
      <c r="G100" s="89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/>
      <c r="D101" s="89"/>
      <c r="E101" s="89"/>
      <c r="F101" s="89"/>
      <c r="G101" s="89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/>
      <c r="D102" s="89"/>
      <c r="E102" s="89"/>
      <c r="F102" s="89"/>
      <c r="G102" s="89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/>
      <c r="D103" s="89"/>
      <c r="E103" s="89"/>
      <c r="F103" s="89"/>
      <c r="G103" s="89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/>
      <c r="D104" s="89"/>
      <c r="E104" s="89"/>
      <c r="F104" s="89"/>
      <c r="G104" s="89"/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/>
      <c r="D105" s="89"/>
      <c r="E105" s="89"/>
      <c r="F105" s="89"/>
      <c r="G105" s="89"/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/>
      <c r="D106" s="89"/>
      <c r="E106" s="89"/>
      <c r="F106" s="89"/>
      <c r="G106" s="89"/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/>
      <c r="C107" s="89"/>
      <c r="D107" s="89"/>
      <c r="E107" s="89"/>
      <c r="F107" s="89"/>
      <c r="G107" s="89"/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/>
      <c r="C108" s="89"/>
      <c r="D108" s="89"/>
      <c r="E108" s="89"/>
      <c r="F108" s="89"/>
      <c r="G108" s="89"/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/>
      <c r="C109" s="89"/>
      <c r="D109" s="89"/>
      <c r="E109" s="89"/>
      <c r="F109" s="89"/>
      <c r="G109" s="89"/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/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/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/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0</v>
      </c>
      <c r="C121" s="112">
        <f t="shared" si="0"/>
        <v>0</v>
      </c>
      <c r="D121" s="112">
        <f t="shared" si="0"/>
        <v>0</v>
      </c>
      <c r="E121" s="112">
        <f t="shared" si="0"/>
        <v>0</v>
      </c>
      <c r="F121" s="112">
        <f t="shared" si="0"/>
        <v>0</v>
      </c>
      <c r="G121" s="112">
        <f t="shared" si="0"/>
        <v>0</v>
      </c>
      <c r="H121" s="66"/>
      <c r="I121" s="66"/>
    </row>
    <row r="122" spans="1:9" ht="15" thickTop="1" x14ac:dyDescent="0.35">
      <c r="H122" s="66"/>
      <c r="I122" s="66"/>
    </row>
    <row r="123" spans="1:9" x14ac:dyDescent="0.35">
      <c r="A123" s="126" t="s">
        <v>2816</v>
      </c>
      <c r="H123" s="66"/>
      <c r="I123" s="66"/>
    </row>
    <row r="124" spans="1:9" x14ac:dyDescent="0.35">
      <c r="A124" s="126"/>
      <c r="H124" s="66"/>
      <c r="I124" s="66"/>
    </row>
    <row r="125" spans="1:9" hidden="1" x14ac:dyDescent="0.35">
      <c r="A125" s="66" t="s">
        <v>3438</v>
      </c>
      <c r="B125" s="89"/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/>
      <c r="C126" s="89"/>
      <c r="D126" s="89"/>
      <c r="E126" s="89"/>
      <c r="F126" s="89"/>
      <c r="G126" s="89"/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/>
      <c r="C127" s="89"/>
      <c r="D127" s="89"/>
      <c r="E127" s="89"/>
      <c r="F127" s="89"/>
      <c r="G127" s="89"/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/>
      <c r="C128" s="89"/>
      <c r="D128" s="89"/>
      <c r="E128" s="89"/>
      <c r="F128" s="89"/>
      <c r="G128" s="89"/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/>
      <c r="C129" s="89"/>
      <c r="D129" s="89"/>
      <c r="E129" s="89"/>
      <c r="F129" s="89"/>
      <c r="G129" s="89"/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/>
      <c r="C130" s="89"/>
      <c r="D130" s="89"/>
      <c r="E130" s="89"/>
      <c r="F130" s="89"/>
      <c r="G130" s="89"/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/>
      <c r="C131" s="89"/>
      <c r="D131" s="89"/>
      <c r="E131" s="89"/>
      <c r="F131" s="89"/>
      <c r="G131" s="89"/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/>
      <c r="C132" s="89"/>
      <c r="D132" s="89"/>
      <c r="E132" s="89"/>
      <c r="F132" s="89"/>
      <c r="G132" s="89"/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/>
      <c r="C133" s="89"/>
      <c r="D133" s="89"/>
      <c r="E133" s="89"/>
      <c r="F133" s="89"/>
      <c r="G133" s="89"/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89"/>
      <c r="F135" s="89"/>
      <c r="G135" s="89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x14ac:dyDescent="0.35">
      <c r="A157" s="66" t="s">
        <v>3012</v>
      </c>
      <c r="B157" s="89">
        <v>821600</v>
      </c>
      <c r="C157" s="89">
        <v>821600</v>
      </c>
      <c r="D157" s="235">
        <f>806065.48-32242.62</f>
        <v>773822.86</v>
      </c>
      <c r="E157" s="235">
        <v>806100</v>
      </c>
      <c r="F157" s="235">
        <v>838400</v>
      </c>
      <c r="G157" s="235">
        <v>872000</v>
      </c>
      <c r="H157" s="66" t="str">
        <f>VLOOKUP(A157,'Tot KPA'!A:H,8,0)</f>
        <v>Remuneration of councillors</v>
      </c>
      <c r="I157" s="66">
        <f>VLOOKUP(A157,'Tot KPA'!A:I,9,0)</f>
        <v>0</v>
      </c>
    </row>
    <row r="158" spans="1:9" x14ac:dyDescent="0.35">
      <c r="A158" s="66" t="s">
        <v>3010</v>
      </c>
      <c r="B158" s="89">
        <f>3400*12</f>
        <v>40800</v>
      </c>
      <c r="C158" s="89">
        <f>3400*12</f>
        <v>40800</v>
      </c>
      <c r="D158" s="235">
        <v>40800</v>
      </c>
      <c r="E158" s="235">
        <f>3400*12</f>
        <v>40800</v>
      </c>
      <c r="F158" s="235">
        <f>+E158</f>
        <v>40800</v>
      </c>
      <c r="G158" s="235">
        <f>+F158</f>
        <v>40800</v>
      </c>
      <c r="H158" s="66" t="str">
        <f>VLOOKUP(A158,'Tot KPA'!A:H,8,0)</f>
        <v>Remuneration of councillors</v>
      </c>
      <c r="I158" s="66">
        <f>VLOOKUP(A158,'Tot KPA'!A:I,9,0)</f>
        <v>0</v>
      </c>
    </row>
    <row r="159" spans="1:9" x14ac:dyDescent="0.35">
      <c r="A159" s="66" t="s">
        <v>3013</v>
      </c>
      <c r="B159" s="89">
        <f>300*12</f>
        <v>3600</v>
      </c>
      <c r="C159" s="89">
        <f>300*12</f>
        <v>3600</v>
      </c>
      <c r="D159" s="235">
        <v>3600</v>
      </c>
      <c r="E159" s="235">
        <f>300*12</f>
        <v>3600</v>
      </c>
      <c r="F159" s="235">
        <f>+E159</f>
        <v>3600</v>
      </c>
      <c r="G159" s="235">
        <f>+F159</f>
        <v>3600</v>
      </c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>
        <v>0</v>
      </c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>
        <v>0</v>
      </c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>
        <v>0</v>
      </c>
      <c r="C167" s="89"/>
      <c r="D167" s="89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89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3420</v>
      </c>
      <c r="B173" s="89"/>
      <c r="C173" s="89"/>
      <c r="D173" s="89"/>
      <c r="E173" s="89"/>
      <c r="F173" s="89"/>
      <c r="G173" s="89"/>
      <c r="H173" s="66" t="e">
        <f>VLOOKUP(A173,'Tot KPA'!A:H,8,0)</f>
        <v>#N/A</v>
      </c>
      <c r="I173" s="66" t="e">
        <f>VLOOKUP(A173,'Tot KPA'!A:I,9,0)</f>
        <v>#N/A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3397</v>
      </c>
      <c r="B178" s="89"/>
      <c r="C178" s="89"/>
      <c r="D178" s="89"/>
      <c r="E178" s="89"/>
      <c r="F178" s="89"/>
      <c r="G178" s="89"/>
      <c r="H178" s="66" t="e">
        <f>VLOOKUP(A178,'Tot KPA'!A:H,8,0)</f>
        <v>#N/A</v>
      </c>
      <c r="I178" s="66" t="e">
        <f>VLOOKUP(A178,'Tot KPA'!A:I,9,0)</f>
        <v>#N/A</v>
      </c>
    </row>
    <row r="179" spans="1:9" hidden="1" x14ac:dyDescent="0.35">
      <c r="A179" s="66" t="s">
        <v>2883</v>
      </c>
      <c r="B179" s="89"/>
      <c r="C179" s="89"/>
      <c r="D179" s="89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9" hidden="1" x14ac:dyDescent="0.35">
      <c r="A183" s="66" t="s">
        <v>2901</v>
      </c>
      <c r="B183" s="89">
        <v>0</v>
      </c>
      <c r="C183" s="89"/>
      <c r="D183" s="89"/>
      <c r="E183" s="89"/>
      <c r="F183" s="89"/>
      <c r="G183" s="89"/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hidden="1" x14ac:dyDescent="0.35">
      <c r="A184" s="66" t="s">
        <v>2902</v>
      </c>
      <c r="B184" s="89">
        <v>0</v>
      </c>
      <c r="C184" s="89"/>
      <c r="D184" s="89"/>
      <c r="E184" s="89"/>
      <c r="F184" s="89"/>
      <c r="G184" s="89"/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hidden="1" x14ac:dyDescent="0.35">
      <c r="A185" s="66" t="s">
        <v>2903</v>
      </c>
      <c r="B185" s="89">
        <v>0</v>
      </c>
      <c r="C185" s="89"/>
      <c r="D185" s="89"/>
      <c r="E185" s="89"/>
      <c r="F185" s="89"/>
      <c r="G185" s="89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>
        <v>0</v>
      </c>
      <c r="C186" s="89"/>
      <c r="D186" s="89"/>
      <c r="E186" s="89"/>
      <c r="F186" s="89"/>
      <c r="G186" s="89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89"/>
      <c r="E187" s="89"/>
      <c r="F187" s="89"/>
      <c r="G187" s="89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>
        <v>0</v>
      </c>
      <c r="C188" s="89"/>
      <c r="D188" s="89"/>
      <c r="E188" s="89"/>
      <c r="F188" s="89"/>
      <c r="G188" s="89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>
        <v>0</v>
      </c>
      <c r="C189" s="89"/>
      <c r="D189" s="89"/>
      <c r="E189" s="89"/>
      <c r="F189" s="89"/>
      <c r="G189" s="89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>
        <v>0</v>
      </c>
      <c r="C190" s="89"/>
      <c r="D190" s="89"/>
      <c r="E190" s="89"/>
      <c r="F190" s="89"/>
      <c r="G190" s="89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>
        <v>0</v>
      </c>
      <c r="C191" s="89"/>
      <c r="D191" s="89"/>
      <c r="E191" s="89"/>
      <c r="F191" s="89"/>
      <c r="G191" s="89"/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89"/>
      <c r="E192" s="89"/>
      <c r="F192" s="89"/>
      <c r="G192" s="89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hidden="1" x14ac:dyDescent="0.35">
      <c r="A193" s="66" t="s">
        <v>2906</v>
      </c>
      <c r="B193" s="89"/>
      <c r="C193" s="89"/>
      <c r="D193" s="89"/>
      <c r="E193" s="89"/>
      <c r="F193" s="89"/>
      <c r="G193" s="89"/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89"/>
      <c r="E194" s="89"/>
      <c r="F194" s="89"/>
      <c r="G194" s="89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89"/>
      <c r="E195" s="89"/>
      <c r="F195" s="89"/>
      <c r="G195" s="89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89"/>
      <c r="E196" s="89"/>
      <c r="F196" s="89"/>
      <c r="G196" s="89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89"/>
      <c r="E197" s="89"/>
      <c r="F197" s="89"/>
      <c r="G197" s="89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hidden="1" x14ac:dyDescent="0.35">
      <c r="A198" s="66" t="s">
        <v>2910</v>
      </c>
      <c r="B198" s="89"/>
      <c r="C198" s="89"/>
      <c r="D198" s="89"/>
      <c r="E198" s="89"/>
      <c r="F198" s="89"/>
      <c r="G198" s="89"/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89"/>
      <c r="F201" s="89"/>
      <c r="G201" s="89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>
        <v>0</v>
      </c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>
        <v>0</v>
      </c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>
        <v>0</v>
      </c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>
        <v>0</v>
      </c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>
        <v>0</v>
      </c>
      <c r="C209" s="89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>
        <v>0</v>
      </c>
      <c r="C210" s="89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>
        <v>0</v>
      </c>
      <c r="C211" s="89"/>
      <c r="D211" s="89"/>
      <c r="E211" s="89"/>
      <c r="F211" s="89"/>
      <c r="G211" s="89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>
        <v>0</v>
      </c>
      <c r="C212" s="89"/>
      <c r="D212" s="89"/>
      <c r="E212" s="89"/>
      <c r="F212" s="89"/>
      <c r="G212" s="89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>
        <v>0</v>
      </c>
      <c r="C213" s="89"/>
      <c r="D213" s="89"/>
      <c r="E213" s="89"/>
      <c r="F213" s="89"/>
      <c r="G213" s="89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v>0</v>
      </c>
      <c r="C214" s="89"/>
      <c r="D214" s="89"/>
      <c r="E214" s="89"/>
      <c r="F214" s="89"/>
      <c r="G214" s="89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89"/>
      <c r="F216" s="89"/>
      <c r="G216" s="89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>
        <v>0</v>
      </c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>
        <v>0</v>
      </c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>
        <v>0</v>
      </c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>
        <v>0</v>
      </c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>
        <v>0</v>
      </c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>
        <v>0</v>
      </c>
      <c r="C225" s="89"/>
      <c r="D225" s="89"/>
      <c r="E225" s="89"/>
      <c r="F225" s="89"/>
      <c r="G225" s="89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>
        <v>0</v>
      </c>
      <c r="C226" s="89"/>
      <c r="D226" s="89"/>
      <c r="E226" s="89"/>
      <c r="F226" s="89"/>
      <c r="G226" s="89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>
        <v>0</v>
      </c>
      <c r="C227" s="89"/>
      <c r="D227" s="89"/>
      <c r="E227" s="89"/>
      <c r="F227" s="89"/>
      <c r="G227" s="89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>
        <v>0</v>
      </c>
      <c r="C228" s="89"/>
      <c r="D228" s="89"/>
      <c r="E228" s="89"/>
      <c r="F228" s="89"/>
      <c r="G228" s="89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>
        <v>0</v>
      </c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>
        <v>0</v>
      </c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>
        <v>0</v>
      </c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>
        <v>0</v>
      </c>
      <c r="C232" s="89"/>
      <c r="D232" s="89"/>
      <c r="E232" s="89"/>
      <c r="F232" s="89"/>
      <c r="G232" s="89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>
        <v>0</v>
      </c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>
        <v>0</v>
      </c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>
        <v>0</v>
      </c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>
        <v>0</v>
      </c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/>
      <c r="C272" s="89"/>
      <c r="D272" s="89"/>
      <c r="E272" s="89"/>
      <c r="F272" s="89"/>
      <c r="G272" s="89"/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89"/>
      <c r="E275" s="89"/>
      <c r="F275" s="89"/>
      <c r="G275" s="89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>
        <v>0</v>
      </c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0</v>
      </c>
      <c r="C277" s="89"/>
      <c r="D277" s="89"/>
      <c r="E277" s="89"/>
      <c r="F277" s="89"/>
      <c r="G277" s="89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/>
      <c r="D278" s="89"/>
      <c r="E278" s="89"/>
      <c r="F278" s="89"/>
      <c r="G278" s="89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/>
      <c r="D279" s="89"/>
      <c r="E279" s="89"/>
      <c r="F279" s="89"/>
      <c r="G279" s="89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89"/>
      <c r="E280" s="89"/>
      <c r="F280" s="89"/>
      <c r="G280" s="89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/>
      <c r="D281" s="89"/>
      <c r="E281" s="89"/>
      <c r="F281" s="89"/>
      <c r="G281" s="89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/>
      <c r="D282" s="89"/>
      <c r="E282" s="89"/>
      <c r="F282" s="89"/>
      <c r="G282" s="89"/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/>
      <c r="D283" s="89"/>
      <c r="E283" s="89"/>
      <c r="F283" s="89"/>
      <c r="G283" s="89"/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/>
      <c r="C284" s="89"/>
      <c r="D284" s="89"/>
      <c r="E284" s="89"/>
      <c r="F284" s="89"/>
      <c r="G284" s="89"/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/>
      <c r="D285" s="89"/>
      <c r="E285" s="89"/>
      <c r="F285" s="89"/>
      <c r="G285" s="89"/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/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/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/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89" spans="1:7" x14ac:dyDescent="0.35">
      <c r="A289" s="111"/>
      <c r="B289" s="111"/>
      <c r="D289" s="111"/>
      <c r="E289" s="111"/>
      <c r="F289" s="111"/>
      <c r="G289" s="111"/>
    </row>
    <row r="290" spans="1:7" ht="15" thickBot="1" x14ac:dyDescent="0.4">
      <c r="A290" s="117" t="s">
        <v>2546</v>
      </c>
      <c r="B290" s="112">
        <f t="shared" ref="B290:G290" si="1">SUM(B125:B288)</f>
        <v>866000</v>
      </c>
      <c r="C290" s="112">
        <f t="shared" si="1"/>
        <v>866000</v>
      </c>
      <c r="D290" s="112">
        <f t="shared" si="1"/>
        <v>818222.86</v>
      </c>
      <c r="E290" s="112">
        <f t="shared" si="1"/>
        <v>850500</v>
      </c>
      <c r="F290" s="112">
        <f t="shared" si="1"/>
        <v>882800</v>
      </c>
      <c r="G290" s="112">
        <f t="shared" si="1"/>
        <v>916400</v>
      </c>
    </row>
    <row r="291" spans="1:7" ht="15" thickTop="1" x14ac:dyDescent="0.35">
      <c r="B291" s="111"/>
      <c r="D291" s="111"/>
      <c r="E291" s="111"/>
      <c r="F291" s="111"/>
      <c r="G291" s="111"/>
    </row>
    <row r="292" spans="1:7" ht="15" thickBot="1" x14ac:dyDescent="0.4">
      <c r="A292" s="117" t="s">
        <v>2674</v>
      </c>
      <c r="B292" s="112">
        <f t="shared" ref="B292:G292" si="2">+B121+B290</f>
        <v>866000</v>
      </c>
      <c r="C292" s="112">
        <f t="shared" si="2"/>
        <v>866000</v>
      </c>
      <c r="D292" s="112">
        <f t="shared" si="2"/>
        <v>818222.86</v>
      </c>
      <c r="E292" s="112">
        <f t="shared" si="2"/>
        <v>850500</v>
      </c>
      <c r="F292" s="112">
        <f t="shared" si="2"/>
        <v>882800</v>
      </c>
      <c r="G292" s="112">
        <f t="shared" si="2"/>
        <v>916400</v>
      </c>
    </row>
    <row r="293" spans="1:7" ht="15" thickTop="1" x14ac:dyDescent="0.35">
      <c r="A293" s="111"/>
      <c r="B293" s="111"/>
      <c r="D293" s="111"/>
      <c r="E293" s="111"/>
      <c r="F293" s="111"/>
      <c r="G293" s="111"/>
    </row>
    <row r="298" spans="1:7" x14ac:dyDescent="0.35">
      <c r="D298" s="111"/>
      <c r="E298" s="111"/>
    </row>
    <row r="299" spans="1:7" x14ac:dyDescent="0.35">
      <c r="D299" s="111"/>
    </row>
    <row r="300" spans="1:7" x14ac:dyDescent="0.35">
      <c r="D300" s="111"/>
    </row>
  </sheetData>
  <autoFilter ref="E124:F124" xr:uid="{00000000-0009-0000-0000-00000D000000}"/>
  <sortState xmlns:xlrd2="http://schemas.microsoft.com/office/spreadsheetml/2017/richdata2" ref="A125:I288">
    <sortCondition ref="A125:A288"/>
  </sortState>
  <pageMargins left="0.70866141732283472" right="0.70866141732283472" top="0.74803149606299213" bottom="0.74803149606299213" header="0.31496062992125984" footer="0.31496062992125984"/>
  <pageSetup scale="6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/>
    <pageSetUpPr fitToPage="1"/>
  </sheetPr>
  <dimension ref="A1:I297"/>
  <sheetViews>
    <sheetView topLeftCell="A2" zoomScale="69" zoomScaleNormal="69" workbookViewId="0">
      <selection activeCell="E282" sqref="E282"/>
    </sheetView>
  </sheetViews>
  <sheetFormatPr defaultColWidth="9.1796875" defaultRowHeight="14.5" x14ac:dyDescent="0.35"/>
  <cols>
    <col min="1" max="1" width="61.36328125" style="113" customWidth="1"/>
    <col min="2" max="2" width="19.7265625" style="113" customWidth="1"/>
    <col min="3" max="3" width="18.81640625" style="111" customWidth="1"/>
    <col min="4" max="4" width="21.453125" style="113" customWidth="1"/>
    <col min="5" max="5" width="21.7265625" style="113" customWidth="1"/>
    <col min="6" max="6" width="21.26953125" style="113" customWidth="1"/>
    <col min="7" max="7" width="20.81640625" style="113" customWidth="1"/>
    <col min="8" max="8" width="36.54296875" style="113" customWidth="1"/>
    <col min="9" max="9" width="37.81640625" style="113" customWidth="1"/>
    <col min="10" max="10" width="16.1796875" style="113" customWidth="1"/>
    <col min="11" max="11" width="15.54296875" style="113" customWidth="1"/>
    <col min="12" max="16384" width="9.1796875" style="113"/>
  </cols>
  <sheetData>
    <row r="1" spans="1:9" ht="15" thickBot="1" x14ac:dyDescent="0.4">
      <c r="F1" s="118">
        <v>5</v>
      </c>
      <c r="G1" s="118"/>
    </row>
    <row r="2" spans="1:9" ht="37.5" customHeight="1" thickBot="1" x14ac:dyDescent="0.4">
      <c r="A2" s="120" t="s">
        <v>2803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2680</v>
      </c>
      <c r="B4" s="111"/>
      <c r="D4" s="111"/>
      <c r="E4" s="111"/>
      <c r="F4" s="116"/>
      <c r="G4" s="116"/>
    </row>
    <row r="5" spans="1:9" x14ac:dyDescent="0.35">
      <c r="A5" s="126"/>
      <c r="B5" s="111"/>
      <c r="D5" s="111"/>
      <c r="E5" s="111"/>
      <c r="F5" s="242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/>
      <c r="D7" s="89"/>
      <c r="E7" s="89"/>
      <c r="F7" s="89"/>
      <c r="G7" s="89"/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/>
      <c r="D8" s="89"/>
      <c r="E8" s="89"/>
      <c r="F8" s="89"/>
      <c r="G8" s="89"/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/>
      <c r="D9" s="89"/>
      <c r="E9" s="89"/>
      <c r="F9" s="89"/>
      <c r="G9" s="89"/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/>
      <c r="D10" s="89"/>
      <c r="E10" s="89"/>
      <c r="F10" s="89"/>
      <c r="G10" s="89"/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/>
      <c r="D11" s="89"/>
      <c r="E11" s="89"/>
      <c r="F11" s="89"/>
      <c r="G11" s="89"/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/>
      <c r="D12" s="89"/>
      <c r="E12" s="89"/>
      <c r="F12" s="89"/>
      <c r="G12" s="89"/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/>
      <c r="D13" s="89"/>
      <c r="E13" s="89"/>
      <c r="F13" s="89"/>
      <c r="G13" s="89"/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/>
      <c r="D14" s="89"/>
      <c r="E14" s="89"/>
      <c r="F14" s="89"/>
      <c r="G14" s="89"/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/>
      <c r="D15" s="89"/>
      <c r="E15" s="89"/>
      <c r="F15" s="89"/>
      <c r="G15" s="89"/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/>
      <c r="D16" s="89"/>
      <c r="E16" s="89"/>
      <c r="F16" s="89"/>
      <c r="G16" s="89"/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/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/>
      <c r="D23" s="89"/>
      <c r="E23" s="89"/>
      <c r="F23" s="89"/>
      <c r="G23" s="89"/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/>
      <c r="D24" s="89"/>
      <c r="E24" s="89"/>
      <c r="F24" s="89"/>
      <c r="G24" s="89"/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x14ac:dyDescent="0.35">
      <c r="A25" s="66" t="s">
        <v>2825</v>
      </c>
      <c r="B25" s="89">
        <v>-2025100</v>
      </c>
      <c r="C25" s="89">
        <v>-2025100</v>
      </c>
      <c r="D25" s="235">
        <v>-2025100</v>
      </c>
      <c r="E25" s="235">
        <v>-2414200</v>
      </c>
      <c r="F25" s="235">
        <v>-2611900</v>
      </c>
      <c r="G25" s="235">
        <v>-2801100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89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x14ac:dyDescent="0.35">
      <c r="A39" s="66" t="s">
        <v>2957</v>
      </c>
      <c r="B39" s="89">
        <v>567000</v>
      </c>
      <c r="C39" s="89">
        <v>567000</v>
      </c>
      <c r="D39" s="235">
        <v>320463.90999999997</v>
      </c>
      <c r="E39" s="235">
        <v>334900</v>
      </c>
      <c r="F39" s="235">
        <v>350300</v>
      </c>
      <c r="G39" s="235">
        <v>366500</v>
      </c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234"/>
      <c r="F40" s="234"/>
      <c r="G40" s="234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234"/>
      <c r="F41" s="234"/>
      <c r="G41" s="234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234"/>
      <c r="F42" s="234"/>
      <c r="G42" s="234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234"/>
      <c r="F43" s="234"/>
      <c r="G43" s="234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234"/>
      <c r="F44" s="234"/>
      <c r="G44" s="234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234"/>
      <c r="F45" s="234"/>
      <c r="G45" s="234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234"/>
      <c r="F46" s="234"/>
      <c r="G46" s="234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234"/>
      <c r="F47" s="234"/>
      <c r="G47" s="234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234"/>
      <c r="F48" s="234"/>
      <c r="G48" s="234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234"/>
      <c r="F49" s="234"/>
      <c r="G49" s="234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234"/>
      <c r="F50" s="234"/>
      <c r="G50" s="234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234"/>
      <c r="F51" s="234"/>
      <c r="G51" s="234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x14ac:dyDescent="0.35">
      <c r="A52" s="66" t="s">
        <v>2968</v>
      </c>
      <c r="B52" s="89">
        <v>-218000</v>
      </c>
      <c r="C52" s="89">
        <v>-218000</v>
      </c>
      <c r="D52" s="235">
        <v>-426070.17</v>
      </c>
      <c r="E52" s="235">
        <v>-445300</v>
      </c>
      <c r="F52" s="235">
        <v>-465800</v>
      </c>
      <c r="G52" s="235">
        <v>-487300</v>
      </c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234"/>
      <c r="F53" s="234"/>
      <c r="G53" s="234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234"/>
      <c r="F54" s="234"/>
      <c r="G54" s="234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234"/>
      <c r="F55" s="234"/>
      <c r="G55" s="234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234"/>
      <c r="F56" s="234"/>
      <c r="G56" s="234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234"/>
      <c r="F57" s="234"/>
      <c r="G57" s="234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234"/>
      <c r="F58" s="234"/>
      <c r="G58" s="234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234"/>
      <c r="F59" s="234"/>
      <c r="G59" s="234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234"/>
      <c r="F60" s="234"/>
      <c r="G60" s="234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234"/>
      <c r="F61" s="234"/>
      <c r="G61" s="234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234"/>
      <c r="F62" s="234"/>
      <c r="G62" s="234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234"/>
      <c r="F63" s="234"/>
      <c r="G63" s="234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234"/>
      <c r="F64" s="234"/>
      <c r="G64" s="234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234"/>
      <c r="F65" s="234"/>
      <c r="G65" s="234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234"/>
      <c r="F66" s="234"/>
      <c r="G66" s="234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234"/>
      <c r="F67" s="234"/>
      <c r="G67" s="234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234"/>
      <c r="F68" s="234"/>
      <c r="G68" s="234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234"/>
      <c r="F69" s="234"/>
      <c r="G69" s="234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234"/>
      <c r="F70" s="234"/>
      <c r="G70" s="234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234"/>
      <c r="F71" s="234"/>
      <c r="G71" s="234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234"/>
      <c r="F72" s="234"/>
      <c r="G72" s="234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234"/>
      <c r="F73" s="234"/>
      <c r="G73" s="234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234"/>
      <c r="F74" s="234"/>
      <c r="G74" s="234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234"/>
      <c r="F75" s="234"/>
      <c r="G75" s="234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234"/>
      <c r="F76" s="234"/>
      <c r="G76" s="234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234"/>
      <c r="F77" s="234"/>
      <c r="G77" s="234"/>
      <c r="H77" s="66" t="str">
        <f>VLOOKUP(A77,'Tot KPA'!A:H,8,0)</f>
        <v>Transfers</v>
      </c>
      <c r="I77" s="66">
        <f>VLOOKUP(A77,'Tot KPA'!A:I,9,0)</f>
        <v>0</v>
      </c>
    </row>
    <row r="78" spans="1:9" x14ac:dyDescent="0.35">
      <c r="A78" s="66" t="s">
        <v>2938</v>
      </c>
      <c r="B78" s="89">
        <v>-21800</v>
      </c>
      <c r="C78" s="89">
        <v>-21800</v>
      </c>
      <c r="D78" s="235">
        <v>-19100</v>
      </c>
      <c r="E78" s="235">
        <v>-21800</v>
      </c>
      <c r="F78" s="235">
        <v>-23000</v>
      </c>
      <c r="G78" s="235">
        <v>-24300</v>
      </c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234"/>
      <c r="F79" s="234"/>
      <c r="G79" s="234"/>
      <c r="H79" s="66" t="str">
        <f>VLOOKUP(A79,'Tot KPA'!A:H,8,0)</f>
        <v>Property rates</v>
      </c>
      <c r="I79" s="66" t="str">
        <f>VLOOKUP(A79,'Tot KPA'!A:I,9,0)</f>
        <v>Rebates</v>
      </c>
    </row>
    <row r="80" spans="1:9" x14ac:dyDescent="0.35">
      <c r="A80" s="66" t="s">
        <v>2939</v>
      </c>
      <c r="B80" s="89">
        <f>-8779000+50600</f>
        <v>-8728400</v>
      </c>
      <c r="C80" s="89">
        <f>-8779000+50600</f>
        <v>-8728400</v>
      </c>
      <c r="D80" s="235">
        <v>-8924828.1799999997</v>
      </c>
      <c r="E80" s="235">
        <f>-9326800+76000</f>
        <v>-9250800</v>
      </c>
      <c r="F80" s="235">
        <v>-9755800</v>
      </c>
      <c r="G80" s="235">
        <v>-10204600</v>
      </c>
      <c r="H80" s="66" t="str">
        <f>VLOOKUP(A80,'Tot KPA'!A:H,8,0)</f>
        <v>Property rates</v>
      </c>
      <c r="I80" s="66">
        <f>VLOOKUP(A80,'Tot KPA'!A:I,9,0)</f>
        <v>0</v>
      </c>
    </row>
    <row r="81" spans="1:9" x14ac:dyDescent="0.35">
      <c r="A81" s="66" t="s">
        <v>2947</v>
      </c>
      <c r="B81" s="89">
        <v>17000</v>
      </c>
      <c r="C81" s="89">
        <v>17000</v>
      </c>
      <c r="D81" s="235">
        <v>5605.91</v>
      </c>
      <c r="E81" s="235">
        <v>5900</v>
      </c>
      <c r="F81" s="235">
        <v>6200</v>
      </c>
      <c r="G81" s="235">
        <v>6500</v>
      </c>
      <c r="H81" s="66" t="str">
        <f>VLOOKUP(A81,'Tot KPA'!A:H,8,0)</f>
        <v>Property rates</v>
      </c>
      <c r="I81" s="66" t="str">
        <f>VLOOKUP(A81,'Tot KPA'!A:I,9,0)</f>
        <v>Rebates</v>
      </c>
    </row>
    <row r="82" spans="1:9" x14ac:dyDescent="0.35">
      <c r="A82" s="66" t="s">
        <v>3070</v>
      </c>
      <c r="B82" s="89">
        <v>41500</v>
      </c>
      <c r="C82" s="89">
        <v>41500</v>
      </c>
      <c r="D82" s="235">
        <v>73347.55</v>
      </c>
      <c r="E82" s="235">
        <v>76700</v>
      </c>
      <c r="F82" s="235">
        <v>80300</v>
      </c>
      <c r="G82" s="235">
        <v>84000</v>
      </c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235"/>
      <c r="E83" s="235"/>
      <c r="F83" s="235"/>
      <c r="G83" s="235"/>
      <c r="H83" s="66"/>
      <c r="I83" s="66"/>
    </row>
    <row r="84" spans="1:9" x14ac:dyDescent="0.35">
      <c r="A84" s="66" t="s">
        <v>3069</v>
      </c>
      <c r="B84" s="89">
        <v>956000</v>
      </c>
      <c r="C84" s="89">
        <v>956000</v>
      </c>
      <c r="D84" s="235">
        <v>1282175.28</v>
      </c>
      <c r="E84" s="235">
        <v>1339900</v>
      </c>
      <c r="F84" s="235">
        <v>1401600</v>
      </c>
      <c r="G84" s="235">
        <v>1466100</v>
      </c>
      <c r="H84" s="66" t="str">
        <f>VLOOKUP(A84,'Tot KPA'!A:H,8,0)</f>
        <v>Property rates</v>
      </c>
      <c r="I84" s="66" t="str">
        <f>VLOOKUP(A84,'Tot KPA'!A:I,9,0)</f>
        <v>Rebates</v>
      </c>
    </row>
    <row r="85" spans="1:9" x14ac:dyDescent="0.35">
      <c r="A85" s="66" t="s">
        <v>2946</v>
      </c>
      <c r="B85" s="89">
        <v>0</v>
      </c>
      <c r="C85" s="89">
        <v>0</v>
      </c>
      <c r="D85" s="235">
        <v>23940.22</v>
      </c>
      <c r="E85" s="235">
        <v>25100</v>
      </c>
      <c r="F85" s="235">
        <v>26300</v>
      </c>
      <c r="G85" s="235">
        <v>27500</v>
      </c>
      <c r="H85" s="66" t="str">
        <f>VLOOKUP(A85,'Tot KPA'!A:H,8,0)</f>
        <v>Property rates</v>
      </c>
      <c r="I85" s="66" t="str">
        <f>VLOOKUP(A85,'Tot KPA'!A:I,9,0)</f>
        <v>Rebates</v>
      </c>
    </row>
    <row r="86" spans="1:9" x14ac:dyDescent="0.35">
      <c r="A86" s="66" t="s">
        <v>2975</v>
      </c>
      <c r="B86" s="89">
        <v>-15200</v>
      </c>
      <c r="C86" s="89">
        <v>-15200</v>
      </c>
      <c r="D86" s="235">
        <v>-7100</v>
      </c>
      <c r="E86" s="235">
        <v>-10900</v>
      </c>
      <c r="F86" s="235">
        <v>-11400</v>
      </c>
      <c r="G86" s="235">
        <v>-12000</v>
      </c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>
        <v>0</v>
      </c>
      <c r="C93" s="89">
        <v>0</v>
      </c>
      <c r="D93" s="89">
        <v>0</v>
      </c>
      <c r="E93" s="89">
        <v>0</v>
      </c>
      <c r="F93" s="89">
        <v>0</v>
      </c>
      <c r="G93" s="89">
        <v>0</v>
      </c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>
        <v>0</v>
      </c>
      <c r="D95" s="89">
        <v>0</v>
      </c>
      <c r="E95" s="89">
        <v>0</v>
      </c>
      <c r="F95" s="89">
        <v>0</v>
      </c>
      <c r="G95" s="89">
        <v>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>
        <v>0</v>
      </c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-9427000</v>
      </c>
      <c r="C121" s="112">
        <f t="shared" si="0"/>
        <v>-9427000</v>
      </c>
      <c r="D121" s="112">
        <f t="shared" si="0"/>
        <v>-9696665.4799999986</v>
      </c>
      <c r="E121" s="112">
        <f t="shared" si="0"/>
        <v>-10360500</v>
      </c>
      <c r="F121" s="112">
        <f t="shared" si="0"/>
        <v>-11003200</v>
      </c>
      <c r="G121" s="112">
        <f t="shared" si="0"/>
        <v>-11578700</v>
      </c>
      <c r="H121" s="66"/>
      <c r="I121" s="66"/>
    </row>
    <row r="122" spans="1:9" ht="15" thickTop="1" x14ac:dyDescent="0.35">
      <c r="D122" s="30"/>
      <c r="E122" s="114"/>
      <c r="F122" s="114"/>
      <c r="G122" s="114"/>
      <c r="H122" s="66"/>
      <c r="I122" s="66"/>
    </row>
    <row r="123" spans="1:9" x14ac:dyDescent="0.35">
      <c r="A123" s="126" t="s">
        <v>2681</v>
      </c>
      <c r="H123" s="66"/>
      <c r="I123" s="66"/>
    </row>
    <row r="124" spans="1:9" x14ac:dyDescent="0.35">
      <c r="A124" s="126"/>
      <c r="H124" s="66"/>
      <c r="I124" s="66"/>
    </row>
    <row r="125" spans="1:9" hidden="1" x14ac:dyDescent="0.35">
      <c r="A125" s="66" t="s">
        <v>3438</v>
      </c>
      <c r="B125" s="89">
        <v>0</v>
      </c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>
        <v>0</v>
      </c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>
        <v>0</v>
      </c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>
        <v>0</v>
      </c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>
        <v>0</v>
      </c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>
        <v>0</v>
      </c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>
        <v>0</v>
      </c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>
        <v>0</v>
      </c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0</v>
      </c>
      <c r="C135" s="89">
        <v>0</v>
      </c>
      <c r="D135" s="89">
        <v>0</v>
      </c>
      <c r="E135" s="89">
        <v>0</v>
      </c>
      <c r="F135" s="89">
        <v>0</v>
      </c>
      <c r="G135" s="89">
        <v>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>
        <v>0</v>
      </c>
      <c r="C136" s="89">
        <v>0</v>
      </c>
      <c r="D136" s="89">
        <v>0</v>
      </c>
      <c r="E136" s="89">
        <v>0</v>
      </c>
      <c r="F136" s="89">
        <v>0</v>
      </c>
      <c r="G136" s="89">
        <v>0</v>
      </c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>
        <v>0</v>
      </c>
      <c r="C137" s="89">
        <v>0</v>
      </c>
      <c r="D137" s="89">
        <v>0</v>
      </c>
      <c r="E137" s="89">
        <v>0</v>
      </c>
      <c r="F137" s="89">
        <v>0</v>
      </c>
      <c r="G137" s="89">
        <v>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0</v>
      </c>
      <c r="C138" s="89">
        <v>0</v>
      </c>
      <c r="D138" s="89">
        <v>0</v>
      </c>
      <c r="E138" s="89">
        <v>0</v>
      </c>
      <c r="F138" s="89">
        <v>0</v>
      </c>
      <c r="G138" s="89">
        <v>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0</v>
      </c>
      <c r="C140" s="89">
        <v>0</v>
      </c>
      <c r="D140" s="89">
        <v>0</v>
      </c>
      <c r="E140" s="89">
        <v>0</v>
      </c>
      <c r="F140" s="89">
        <v>0</v>
      </c>
      <c r="G140" s="89">
        <v>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>
        <v>0</v>
      </c>
      <c r="D141" s="89">
        <v>0</v>
      </c>
      <c r="E141" s="89">
        <v>0</v>
      </c>
      <c r="F141" s="89">
        <v>0</v>
      </c>
      <c r="G141" s="89">
        <v>0</v>
      </c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>
        <v>0</v>
      </c>
      <c r="D142" s="89">
        <v>0</v>
      </c>
      <c r="E142" s="89">
        <v>0</v>
      </c>
      <c r="F142" s="89">
        <v>0</v>
      </c>
      <c r="G142" s="89">
        <v>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89">
        <v>0</v>
      </c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>
        <v>0</v>
      </c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>
        <v>0</v>
      </c>
      <c r="D145" s="89">
        <v>0</v>
      </c>
      <c r="E145" s="89">
        <v>0</v>
      </c>
      <c r="F145" s="89">
        <v>0</v>
      </c>
      <c r="G145" s="89">
        <v>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>
        <v>0</v>
      </c>
      <c r="D146" s="89">
        <v>0</v>
      </c>
      <c r="E146" s="89">
        <v>0</v>
      </c>
      <c r="F146" s="89">
        <v>0</v>
      </c>
      <c r="G146" s="89">
        <v>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>
        <v>0</v>
      </c>
      <c r="D147" s="89">
        <v>0</v>
      </c>
      <c r="E147" s="89">
        <v>0</v>
      </c>
      <c r="F147" s="89">
        <v>0</v>
      </c>
      <c r="G147" s="89">
        <v>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>
        <v>0</v>
      </c>
      <c r="D148" s="89">
        <v>0</v>
      </c>
      <c r="E148" s="89">
        <v>0</v>
      </c>
      <c r="F148" s="89">
        <v>0</v>
      </c>
      <c r="G148" s="89">
        <v>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>
        <v>0</v>
      </c>
      <c r="D149" s="89">
        <v>0</v>
      </c>
      <c r="E149" s="89">
        <v>0</v>
      </c>
      <c r="F149" s="89">
        <v>0</v>
      </c>
      <c r="G149" s="89">
        <v>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>
        <v>0</v>
      </c>
      <c r="D150" s="89">
        <v>0</v>
      </c>
      <c r="E150" s="89">
        <v>0</v>
      </c>
      <c r="F150" s="89">
        <v>0</v>
      </c>
      <c r="G150" s="89">
        <v>0</v>
      </c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>
        <v>0</v>
      </c>
      <c r="D151" s="89">
        <v>0</v>
      </c>
      <c r="E151" s="89">
        <v>0</v>
      </c>
      <c r="F151" s="89">
        <v>0</v>
      </c>
      <c r="G151" s="89">
        <v>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>
        <v>0</v>
      </c>
      <c r="C152" s="89">
        <v>0</v>
      </c>
      <c r="D152" s="89">
        <v>0</v>
      </c>
      <c r="E152" s="89">
        <v>0</v>
      </c>
      <c r="F152" s="89">
        <v>0</v>
      </c>
      <c r="G152" s="89">
        <v>0</v>
      </c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0</v>
      </c>
      <c r="C153" s="89">
        <v>0</v>
      </c>
      <c r="D153" s="89">
        <v>0</v>
      </c>
      <c r="E153" s="89">
        <v>0</v>
      </c>
      <c r="F153" s="89">
        <v>0</v>
      </c>
      <c r="G153" s="89">
        <v>0</v>
      </c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>
        <v>0</v>
      </c>
      <c r="C154" s="89">
        <v>0</v>
      </c>
      <c r="D154" s="89">
        <v>0</v>
      </c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>
        <v>0</v>
      </c>
      <c r="C155" s="89">
        <v>0</v>
      </c>
      <c r="D155" s="89">
        <v>0</v>
      </c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>
        <v>0</v>
      </c>
      <c r="C156" s="89">
        <v>0</v>
      </c>
      <c r="D156" s="89">
        <v>0</v>
      </c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>
        <v>0</v>
      </c>
      <c r="C157" s="89">
        <v>0</v>
      </c>
      <c r="D157" s="89">
        <v>0</v>
      </c>
      <c r="E157" s="89">
        <v>0</v>
      </c>
      <c r="F157" s="89">
        <v>0</v>
      </c>
      <c r="G157" s="89">
        <v>0</v>
      </c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>
        <v>0</v>
      </c>
      <c r="C158" s="89">
        <v>0</v>
      </c>
      <c r="D158" s="89">
        <v>0</v>
      </c>
      <c r="E158" s="89">
        <v>0</v>
      </c>
      <c r="F158" s="89">
        <v>0</v>
      </c>
      <c r="G158" s="89">
        <v>0</v>
      </c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>
        <v>0</v>
      </c>
      <c r="C159" s="89">
        <v>0</v>
      </c>
      <c r="D159" s="89">
        <v>0</v>
      </c>
      <c r="E159" s="89">
        <v>0</v>
      </c>
      <c r="F159" s="89">
        <v>0</v>
      </c>
      <c r="G159" s="89">
        <v>0</v>
      </c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>
        <v>0</v>
      </c>
      <c r="C160" s="89">
        <v>0</v>
      </c>
      <c r="D160" s="89">
        <v>0</v>
      </c>
      <c r="E160" s="89">
        <v>0</v>
      </c>
      <c r="F160" s="89">
        <v>0</v>
      </c>
      <c r="G160" s="89">
        <v>0</v>
      </c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>
        <v>0</v>
      </c>
      <c r="C161" s="89">
        <v>0</v>
      </c>
      <c r="D161" s="89">
        <v>0</v>
      </c>
      <c r="E161" s="89">
        <v>0</v>
      </c>
      <c r="F161" s="89">
        <v>0</v>
      </c>
      <c r="G161" s="89">
        <v>0</v>
      </c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>
        <v>0</v>
      </c>
      <c r="C162" s="89">
        <v>0</v>
      </c>
      <c r="D162" s="89">
        <v>0</v>
      </c>
      <c r="E162" s="89">
        <v>0</v>
      </c>
      <c r="F162" s="89">
        <v>0</v>
      </c>
      <c r="G162" s="89">
        <v>0</v>
      </c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>
        <v>0</v>
      </c>
      <c r="C163" s="89">
        <v>0</v>
      </c>
      <c r="D163" s="89">
        <v>0</v>
      </c>
      <c r="E163" s="89">
        <v>0</v>
      </c>
      <c r="F163" s="89">
        <v>0</v>
      </c>
      <c r="G163" s="89">
        <v>0</v>
      </c>
      <c r="H163" s="66" t="str">
        <f>VLOOKUP(A163,'Tot KPA'!A:H,8,0)</f>
        <v>Debt impairment</v>
      </c>
      <c r="I163" s="66">
        <f>VLOOKUP(A163,'Tot KPA'!A:I,9,0)</f>
        <v>0</v>
      </c>
    </row>
    <row r="164" spans="1:9" x14ac:dyDescent="0.35">
      <c r="A164" s="66" t="s">
        <v>3004</v>
      </c>
      <c r="B164" s="89">
        <v>710000</v>
      </c>
      <c r="C164" s="89">
        <v>710000</v>
      </c>
      <c r="D164" s="235">
        <v>775482.94</v>
      </c>
      <c r="E164" s="235">
        <v>1200000</v>
      </c>
      <c r="F164" s="235">
        <f>+E164*1.046</f>
        <v>1255200</v>
      </c>
      <c r="G164" s="235">
        <v>1313000</v>
      </c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235"/>
      <c r="F165" s="235"/>
      <c r="G165" s="235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235"/>
      <c r="F166" s="235"/>
      <c r="G166" s="235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235"/>
      <c r="F167" s="235"/>
      <c r="G167" s="235"/>
      <c r="H167" s="66" t="str">
        <f>VLOOKUP(A167,'Tot KPA'!A:H,8,0)</f>
        <v>Debt impairment</v>
      </c>
      <c r="I167" s="66">
        <f>VLOOKUP(A167,'Tot KPA'!A:I,9,0)</f>
        <v>0</v>
      </c>
    </row>
    <row r="168" spans="1:9" x14ac:dyDescent="0.35">
      <c r="A168" s="66" t="s">
        <v>2983</v>
      </c>
      <c r="B168" s="89">
        <v>8000</v>
      </c>
      <c r="C168" s="89">
        <v>8000</v>
      </c>
      <c r="D168" s="235">
        <v>7819</v>
      </c>
      <c r="E168" s="235">
        <v>8500</v>
      </c>
      <c r="F168" s="235">
        <v>8700</v>
      </c>
      <c r="G168" s="235">
        <v>8900</v>
      </c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235"/>
      <c r="E169" s="235"/>
      <c r="F169" s="235"/>
      <c r="G169" s="235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235"/>
      <c r="E170" s="235"/>
      <c r="F170" s="235"/>
      <c r="G170" s="235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235"/>
      <c r="E171" s="235"/>
      <c r="F171" s="235"/>
      <c r="G171" s="235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235"/>
      <c r="E172" s="235"/>
      <c r="F172" s="235"/>
      <c r="G172" s="235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235"/>
      <c r="E173" s="235"/>
      <c r="F173" s="235"/>
      <c r="G173" s="235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235"/>
      <c r="E174" s="235"/>
      <c r="F174" s="235"/>
      <c r="G174" s="235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235"/>
      <c r="E175" s="235"/>
      <c r="F175" s="235"/>
      <c r="G175" s="235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235"/>
      <c r="E176" s="235"/>
      <c r="F176" s="235"/>
      <c r="G176" s="235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235"/>
      <c r="E177" s="235"/>
      <c r="F177" s="235"/>
      <c r="G177" s="235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235"/>
      <c r="E178" s="235"/>
      <c r="F178" s="235"/>
      <c r="G178" s="235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235"/>
      <c r="E179" s="235"/>
      <c r="F179" s="235"/>
      <c r="G179" s="235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235"/>
      <c r="E180" s="235"/>
      <c r="F180" s="235"/>
      <c r="G180" s="235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235"/>
      <c r="E181" s="235"/>
      <c r="F181" s="235"/>
      <c r="G181" s="235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235"/>
      <c r="E182" s="235"/>
      <c r="F182" s="235"/>
      <c r="G182" s="235"/>
      <c r="H182" s="66" t="str">
        <f>VLOOKUP(A182,'Tot KPA'!A:H,8,0)</f>
        <v>Other expenditure</v>
      </c>
      <c r="I182" s="66">
        <f>VLOOKUP(A182,'Tot KPA'!A:I,9,0)</f>
        <v>0</v>
      </c>
    </row>
    <row r="183" spans="1:9" hidden="1" x14ac:dyDescent="0.35">
      <c r="A183" s="66" t="s">
        <v>2901</v>
      </c>
      <c r="B183" s="89"/>
      <c r="C183" s="89"/>
      <c r="D183" s="235"/>
      <c r="E183" s="235"/>
      <c r="F183" s="235"/>
      <c r="G183" s="235"/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hidden="1" x14ac:dyDescent="0.35">
      <c r="A184" s="66" t="s">
        <v>2902</v>
      </c>
      <c r="B184" s="89"/>
      <c r="C184" s="89"/>
      <c r="D184" s="235"/>
      <c r="E184" s="235"/>
      <c r="F184" s="235"/>
      <c r="G184" s="235"/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hidden="1" x14ac:dyDescent="0.35">
      <c r="A185" s="66" t="s">
        <v>2903</v>
      </c>
      <c r="B185" s="89"/>
      <c r="C185" s="89"/>
      <c r="D185" s="235"/>
      <c r="E185" s="235"/>
      <c r="F185" s="235"/>
      <c r="G185" s="235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/>
      <c r="C186" s="89"/>
      <c r="D186" s="235"/>
      <c r="E186" s="235"/>
      <c r="F186" s="235"/>
      <c r="G186" s="235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235"/>
      <c r="E187" s="235"/>
      <c r="F187" s="235"/>
      <c r="G187" s="235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235"/>
      <c r="E188" s="235"/>
      <c r="F188" s="235"/>
      <c r="G188" s="235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235"/>
      <c r="E189" s="235"/>
      <c r="F189" s="235"/>
      <c r="G189" s="235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235"/>
      <c r="E190" s="235"/>
      <c r="F190" s="235"/>
      <c r="G190" s="235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/>
      <c r="C191" s="89"/>
      <c r="D191" s="235"/>
      <c r="E191" s="235"/>
      <c r="F191" s="235"/>
      <c r="G191" s="235"/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235"/>
      <c r="E192" s="235"/>
      <c r="F192" s="235"/>
      <c r="G192" s="235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hidden="1" x14ac:dyDescent="0.35">
      <c r="A193" s="66" t="s">
        <v>2906</v>
      </c>
      <c r="B193" s="89"/>
      <c r="C193" s="89"/>
      <c r="D193" s="235"/>
      <c r="E193" s="235"/>
      <c r="F193" s="235"/>
      <c r="G193" s="235"/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235"/>
      <c r="E194" s="235"/>
      <c r="F194" s="235"/>
      <c r="G194" s="235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235"/>
      <c r="E195" s="235"/>
      <c r="F195" s="235"/>
      <c r="G195" s="235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235"/>
      <c r="E196" s="235"/>
      <c r="F196" s="235"/>
      <c r="G196" s="235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235"/>
      <c r="E197" s="235"/>
      <c r="F197" s="235"/>
      <c r="G197" s="235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hidden="1" x14ac:dyDescent="0.35">
      <c r="A198" s="66" t="s">
        <v>2910</v>
      </c>
      <c r="B198" s="89"/>
      <c r="C198" s="89"/>
      <c r="D198" s="235"/>
      <c r="E198" s="235"/>
      <c r="F198" s="235"/>
      <c r="G198" s="235"/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235"/>
      <c r="E199" s="235"/>
      <c r="F199" s="235"/>
      <c r="G199" s="235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235"/>
      <c r="E200" s="235"/>
      <c r="F200" s="235"/>
      <c r="G200" s="235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235"/>
      <c r="E201" s="235"/>
      <c r="F201" s="235"/>
      <c r="G201" s="235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235"/>
      <c r="E202" s="235"/>
      <c r="F202" s="235"/>
      <c r="G202" s="235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235"/>
      <c r="E203" s="235"/>
      <c r="F203" s="235"/>
      <c r="G203" s="235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235"/>
      <c r="E204" s="235"/>
      <c r="F204" s="235"/>
      <c r="G204" s="235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235"/>
      <c r="E205" s="235"/>
      <c r="F205" s="235"/>
      <c r="G205" s="235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235"/>
      <c r="E206" s="235"/>
      <c r="F206" s="235"/>
      <c r="G206" s="235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235"/>
      <c r="E207" s="235"/>
      <c r="F207" s="235"/>
      <c r="G207" s="235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235"/>
      <c r="E208" s="235"/>
      <c r="F208" s="235"/>
      <c r="G208" s="235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235"/>
      <c r="E209" s="235"/>
      <c r="F209" s="235"/>
      <c r="G209" s="235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235"/>
      <c r="E210" s="235"/>
      <c r="F210" s="235"/>
      <c r="G210" s="235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235"/>
      <c r="E211" s="235"/>
      <c r="F211" s="235"/>
      <c r="G211" s="235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235"/>
      <c r="E212" s="235"/>
      <c r="F212" s="235"/>
      <c r="G212" s="235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235"/>
      <c r="E213" s="235"/>
      <c r="F213" s="235"/>
      <c r="G213" s="235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235"/>
      <c r="E214" s="235"/>
      <c r="F214" s="235"/>
      <c r="G214" s="235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235"/>
      <c r="E215" s="235"/>
      <c r="F215" s="235"/>
      <c r="G215" s="235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235"/>
      <c r="E216" s="235"/>
      <c r="F216" s="235"/>
      <c r="G216" s="235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235"/>
      <c r="E217" s="235"/>
      <c r="F217" s="235"/>
      <c r="G217" s="235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235"/>
      <c r="E218" s="235"/>
      <c r="F218" s="235"/>
      <c r="G218" s="235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235"/>
      <c r="E219" s="235"/>
      <c r="F219" s="235"/>
      <c r="G219" s="235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235"/>
      <c r="E220" s="235"/>
      <c r="F220" s="235"/>
      <c r="G220" s="235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235"/>
      <c r="E221" s="235"/>
      <c r="F221" s="235"/>
      <c r="G221" s="235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235"/>
      <c r="E222" s="235"/>
      <c r="F222" s="235"/>
      <c r="G222" s="235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235"/>
      <c r="E223" s="235"/>
      <c r="F223" s="235"/>
      <c r="G223" s="235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235"/>
      <c r="E224" s="235"/>
      <c r="F224" s="235"/>
      <c r="G224" s="235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235"/>
      <c r="E225" s="235"/>
      <c r="F225" s="235"/>
      <c r="G225" s="235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235"/>
      <c r="E226" s="235"/>
      <c r="F226" s="235"/>
      <c r="G226" s="235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235"/>
      <c r="E227" s="235"/>
      <c r="F227" s="235"/>
      <c r="G227" s="235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235"/>
      <c r="E228" s="235"/>
      <c r="F228" s="235"/>
      <c r="G228" s="235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235"/>
      <c r="E229" s="235"/>
      <c r="F229" s="235"/>
      <c r="G229" s="235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235"/>
      <c r="E230" s="235"/>
      <c r="F230" s="235"/>
      <c r="G230" s="235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235"/>
      <c r="E231" s="235"/>
      <c r="F231" s="235"/>
      <c r="G231" s="235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235"/>
      <c r="E232" s="235"/>
      <c r="F232" s="235"/>
      <c r="G232" s="235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235"/>
      <c r="E233" s="235"/>
      <c r="F233" s="235"/>
      <c r="G233" s="235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235"/>
      <c r="E234" s="235"/>
      <c r="F234" s="235"/>
      <c r="G234" s="235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235"/>
      <c r="E235" s="235"/>
      <c r="F235" s="235"/>
      <c r="G235" s="235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235"/>
      <c r="E236" s="235"/>
      <c r="F236" s="235"/>
      <c r="G236" s="235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235"/>
      <c r="E237" s="235"/>
      <c r="F237" s="235"/>
      <c r="G237" s="235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235"/>
      <c r="E238" s="235"/>
      <c r="F238" s="235"/>
      <c r="G238" s="235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235"/>
      <c r="E239" s="235"/>
      <c r="F239" s="235"/>
      <c r="G239" s="235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235"/>
      <c r="E240" s="235"/>
      <c r="F240" s="235"/>
      <c r="G240" s="235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235"/>
      <c r="E241" s="235"/>
      <c r="F241" s="235"/>
      <c r="G241" s="235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235"/>
      <c r="E242" s="235"/>
      <c r="F242" s="235"/>
      <c r="G242" s="235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235"/>
      <c r="E243" s="235"/>
      <c r="F243" s="235"/>
      <c r="G243" s="235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235"/>
      <c r="E244" s="235"/>
      <c r="F244" s="235"/>
      <c r="G244" s="235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235"/>
      <c r="E245" s="235"/>
      <c r="F245" s="235"/>
      <c r="G245" s="235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235"/>
      <c r="E246" s="235"/>
      <c r="F246" s="235"/>
      <c r="G246" s="235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235"/>
      <c r="E247" s="235"/>
      <c r="F247" s="235"/>
      <c r="G247" s="235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235"/>
      <c r="E248" s="235"/>
      <c r="F248" s="235"/>
      <c r="G248" s="235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235"/>
      <c r="E249" s="235"/>
      <c r="F249" s="235"/>
      <c r="G249" s="235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235"/>
      <c r="E250" s="235"/>
      <c r="F250" s="235"/>
      <c r="G250" s="235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235"/>
      <c r="E251" s="235"/>
      <c r="F251" s="235"/>
      <c r="G251" s="235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235"/>
      <c r="E252" s="235"/>
      <c r="F252" s="235"/>
      <c r="G252" s="235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235"/>
      <c r="E253" s="235"/>
      <c r="F253" s="235"/>
      <c r="G253" s="235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235"/>
      <c r="E254" s="235"/>
      <c r="F254" s="235"/>
      <c r="G254" s="235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235"/>
      <c r="E255" s="235"/>
      <c r="F255" s="235"/>
      <c r="G255" s="235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235"/>
      <c r="E256" s="235"/>
      <c r="F256" s="235"/>
      <c r="G256" s="235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235"/>
      <c r="E257" s="235"/>
      <c r="F257" s="235"/>
      <c r="G257" s="235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235"/>
      <c r="E258" s="235"/>
      <c r="F258" s="235"/>
      <c r="G258" s="235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235"/>
      <c r="E259" s="235"/>
      <c r="F259" s="235"/>
      <c r="G259" s="235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235"/>
      <c r="E260" s="235"/>
      <c r="F260" s="235"/>
      <c r="G260" s="235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235"/>
      <c r="E261" s="235"/>
      <c r="F261" s="235"/>
      <c r="G261" s="235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235"/>
      <c r="E262" s="235"/>
      <c r="F262" s="235"/>
      <c r="G262" s="235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235"/>
      <c r="E263" s="235"/>
      <c r="F263" s="235"/>
      <c r="G263" s="235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235"/>
      <c r="E264" s="235"/>
      <c r="F264" s="235"/>
      <c r="G264" s="235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235"/>
      <c r="E265" s="235"/>
      <c r="F265" s="235"/>
      <c r="G265" s="235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235"/>
      <c r="E266" s="235"/>
      <c r="F266" s="235"/>
      <c r="G266" s="235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235"/>
      <c r="E267" s="235"/>
      <c r="F267" s="235"/>
      <c r="G267" s="235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235"/>
      <c r="E268" s="235"/>
      <c r="F268" s="235"/>
      <c r="G268" s="235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235"/>
      <c r="E269" s="235"/>
      <c r="F269" s="235"/>
      <c r="G269" s="235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235"/>
      <c r="E270" s="235"/>
      <c r="F270" s="235"/>
      <c r="G270" s="235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235"/>
      <c r="E271" s="235"/>
      <c r="F271" s="235"/>
      <c r="G271" s="235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/>
      <c r="C272" s="89"/>
      <c r="D272" s="235"/>
      <c r="E272" s="235"/>
      <c r="F272" s="235"/>
      <c r="G272" s="235"/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235"/>
      <c r="E273" s="235"/>
      <c r="F273" s="235"/>
      <c r="G273" s="235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235"/>
      <c r="E274" s="235"/>
      <c r="F274" s="235"/>
      <c r="G274" s="235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235"/>
      <c r="E275" s="235"/>
      <c r="F275" s="235"/>
      <c r="G275" s="235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235"/>
      <c r="E276" s="235"/>
      <c r="F276" s="235"/>
      <c r="G276" s="235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235"/>
      <c r="E277" s="235"/>
      <c r="F277" s="235"/>
      <c r="G277" s="235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235"/>
      <c r="E278" s="235"/>
      <c r="F278" s="235"/>
      <c r="G278" s="235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235"/>
      <c r="E279" s="235"/>
      <c r="F279" s="235"/>
      <c r="G279" s="235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235"/>
      <c r="E280" s="235"/>
      <c r="F280" s="235"/>
      <c r="G280" s="235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/>
      <c r="C281" s="89"/>
      <c r="D281" s="235"/>
      <c r="E281" s="235"/>
      <c r="F281" s="235"/>
      <c r="G281" s="235"/>
      <c r="H281" s="66" t="str">
        <f>VLOOKUP(A281,'Tot KPA'!A:H,8,0)</f>
        <v>Other expenditure</v>
      </c>
      <c r="I281" s="66">
        <f>VLOOKUP(A281,'Tot KPA'!A:I,9,0)</f>
        <v>0</v>
      </c>
    </row>
    <row r="282" spans="1:9" x14ac:dyDescent="0.35">
      <c r="A282" s="66" t="s">
        <v>2990</v>
      </c>
      <c r="B282" s="89">
        <v>50000</v>
      </c>
      <c r="C282" s="89">
        <v>50000</v>
      </c>
      <c r="D282" s="235">
        <v>42156</v>
      </c>
      <c r="E282" s="235">
        <v>50000</v>
      </c>
      <c r="F282" s="235">
        <v>50000</v>
      </c>
      <c r="G282" s="235">
        <v>50000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768000</v>
      </c>
      <c r="C290" s="112">
        <f t="shared" si="1"/>
        <v>768000</v>
      </c>
      <c r="D290" s="112">
        <f t="shared" si="1"/>
        <v>825457.94</v>
      </c>
      <c r="E290" s="112">
        <f t="shared" si="1"/>
        <v>1258500</v>
      </c>
      <c r="F290" s="112">
        <f t="shared" si="1"/>
        <v>1313900</v>
      </c>
      <c r="G290" s="112">
        <f t="shared" si="1"/>
        <v>1371900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-8659000</v>
      </c>
      <c r="C292" s="112">
        <f t="shared" si="2"/>
        <v>-8659000</v>
      </c>
      <c r="D292" s="112">
        <f t="shared" si="2"/>
        <v>-8871207.5399999991</v>
      </c>
      <c r="E292" s="112">
        <f t="shared" si="2"/>
        <v>-9102000</v>
      </c>
      <c r="F292" s="112">
        <f t="shared" si="2"/>
        <v>-9689300</v>
      </c>
      <c r="G292" s="112">
        <f t="shared" si="2"/>
        <v>-10206800</v>
      </c>
    </row>
    <row r="293" spans="1:7" ht="15" thickTop="1" x14ac:dyDescent="0.35"/>
    <row r="294" spans="1:7" x14ac:dyDescent="0.35">
      <c r="E294" s="130"/>
      <c r="F294" s="130"/>
      <c r="G294" s="130"/>
    </row>
    <row r="297" spans="1:7" x14ac:dyDescent="0.35">
      <c r="E297" s="130"/>
    </row>
  </sheetData>
  <sortState xmlns:xlrd2="http://schemas.microsoft.com/office/spreadsheetml/2017/richdata2" ref="A125:I288">
    <sortCondition ref="A125:A288"/>
  </sortState>
  <pageMargins left="0.7" right="0.7" top="0.75" bottom="0.75" header="0.3" footer="0.3"/>
  <pageSetup scale="1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>
    <tabColor theme="3"/>
    <pageSetUpPr fitToPage="1"/>
  </sheetPr>
  <dimension ref="A1:I293"/>
  <sheetViews>
    <sheetView topLeftCell="A28" zoomScale="69" zoomScaleNormal="69" workbookViewId="0">
      <selection activeCell="E183" sqref="E183:E198"/>
    </sheetView>
  </sheetViews>
  <sheetFormatPr defaultColWidth="9.1796875" defaultRowHeight="14.5" x14ac:dyDescent="0.35"/>
  <cols>
    <col min="1" max="1" width="61.36328125" style="113" customWidth="1"/>
    <col min="2" max="2" width="21.81640625" style="113" customWidth="1"/>
    <col min="3" max="3" width="21.26953125" style="111" customWidth="1"/>
    <col min="4" max="4" width="20.26953125" style="111" customWidth="1"/>
    <col min="5" max="5" width="19.26953125" style="113" customWidth="1"/>
    <col min="6" max="6" width="18.26953125" style="113" customWidth="1"/>
    <col min="7" max="7" width="20.54296875" style="113" customWidth="1"/>
    <col min="8" max="8" width="36.54296875" style="113" customWidth="1"/>
    <col min="9" max="9" width="33.453125" style="113" customWidth="1"/>
    <col min="10" max="16384" width="9.1796875" style="113"/>
  </cols>
  <sheetData>
    <row r="1" spans="1:9" ht="15" thickBot="1" x14ac:dyDescent="0.4">
      <c r="F1" s="118">
        <v>6</v>
      </c>
      <c r="G1" s="118"/>
    </row>
    <row r="2" spans="1:9" ht="15" thickBot="1" x14ac:dyDescent="0.4">
      <c r="A2" s="120" t="s">
        <v>2805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2682</v>
      </c>
      <c r="B4" s="111"/>
      <c r="E4" s="111"/>
      <c r="F4" s="116"/>
      <c r="G4" s="116"/>
    </row>
    <row r="5" spans="1:9" x14ac:dyDescent="0.35">
      <c r="A5" s="126"/>
      <c r="B5" s="111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t="15.75" hidden="1" customHeight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t="15.75" hidden="1" customHeight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x14ac:dyDescent="0.35">
      <c r="A28" s="66" t="s">
        <v>2974</v>
      </c>
      <c r="B28" s="89">
        <v>-200</v>
      </c>
      <c r="C28" s="89">
        <v>-200</v>
      </c>
      <c r="D28" s="235">
        <v>-149</v>
      </c>
      <c r="E28" s="235">
        <v>-200</v>
      </c>
      <c r="F28" s="235">
        <v>-200</v>
      </c>
      <c r="G28" s="235">
        <v>-400</v>
      </c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x14ac:dyDescent="0.35">
      <c r="A77" s="66" t="s">
        <v>2972</v>
      </c>
      <c r="B77" s="89">
        <v>-86000</v>
      </c>
      <c r="C77" s="89"/>
      <c r="D77" s="235">
        <v>-82000</v>
      </c>
      <c r="E77" s="235">
        <v>-92000</v>
      </c>
      <c r="F77" s="235">
        <v>-96300</v>
      </c>
      <c r="G77" s="235">
        <v>-100800</v>
      </c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234"/>
      <c r="F78" s="234"/>
      <c r="G78" s="234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234"/>
      <c r="F79" s="234"/>
      <c r="G79" s="234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234"/>
      <c r="F80" s="234"/>
      <c r="G80" s="234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/>
      <c r="C81" s="89"/>
      <c r="D81" s="89"/>
      <c r="E81" s="234"/>
      <c r="F81" s="234"/>
      <c r="G81" s="234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/>
      <c r="C82" s="89"/>
      <c r="D82" s="89"/>
      <c r="E82" s="234"/>
      <c r="F82" s="234"/>
      <c r="G82" s="234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234"/>
      <c r="F83" s="234"/>
      <c r="G83" s="234"/>
      <c r="H83" s="66"/>
      <c r="I83" s="66"/>
    </row>
    <row r="84" spans="1:9" hidden="1" x14ac:dyDescent="0.35">
      <c r="A84" s="66" t="s">
        <v>3069</v>
      </c>
      <c r="B84" s="89"/>
      <c r="C84" s="89"/>
      <c r="D84" s="89"/>
      <c r="E84" s="234"/>
      <c r="F84" s="234"/>
      <c r="G84" s="234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/>
      <c r="C85" s="89"/>
      <c r="D85" s="89"/>
      <c r="E85" s="234"/>
      <c r="F85" s="234"/>
      <c r="G85" s="234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/>
      <c r="C86" s="89"/>
      <c r="D86" s="89"/>
      <c r="E86" s="234"/>
      <c r="F86" s="234"/>
      <c r="G86" s="234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/>
      <c r="C87" s="89"/>
      <c r="D87" s="89"/>
      <c r="E87" s="234"/>
      <c r="F87" s="234"/>
      <c r="G87" s="234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234"/>
      <c r="F88" s="234"/>
      <c r="G88" s="234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/>
      <c r="C89" s="89"/>
      <c r="D89" s="89"/>
      <c r="E89" s="234"/>
      <c r="F89" s="234"/>
      <c r="G89" s="234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/>
      <c r="C90" s="89"/>
      <c r="D90" s="89"/>
      <c r="E90" s="234"/>
      <c r="F90" s="234"/>
      <c r="G90" s="234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x14ac:dyDescent="0.35">
      <c r="A91" s="66" t="s">
        <v>2937</v>
      </c>
      <c r="B91" s="89">
        <v>-50000</v>
      </c>
      <c r="C91" s="89">
        <v>-50000</v>
      </c>
      <c r="D91" s="235">
        <v>-29025</v>
      </c>
      <c r="E91" s="235">
        <v>-35000</v>
      </c>
      <c r="F91" s="235">
        <v>-36600</v>
      </c>
      <c r="G91" s="235">
        <v>-38300</v>
      </c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/>
      <c r="C92" s="89"/>
      <c r="D92" s="89"/>
      <c r="E92" s="234"/>
      <c r="F92" s="234"/>
      <c r="G92" s="234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/>
      <c r="C93" s="89"/>
      <c r="D93" s="89"/>
      <c r="E93" s="234"/>
      <c r="F93" s="234"/>
      <c r="G93" s="234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/>
      <c r="C94" s="89"/>
      <c r="D94" s="89"/>
      <c r="E94" s="234"/>
      <c r="F94" s="234"/>
      <c r="G94" s="234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/>
      <c r="C95" s="89"/>
      <c r="D95" s="89"/>
      <c r="E95" s="234"/>
      <c r="F95" s="234"/>
      <c r="G95" s="234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/>
      <c r="C96" s="89"/>
      <c r="D96" s="89"/>
      <c r="E96" s="234"/>
      <c r="F96" s="234"/>
      <c r="G96" s="234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234"/>
      <c r="F97" s="234"/>
      <c r="G97" s="234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234"/>
      <c r="F98" s="234"/>
      <c r="G98" s="234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234"/>
      <c r="F99" s="234"/>
      <c r="G99" s="234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/>
      <c r="C100" s="89"/>
      <c r="D100" s="89"/>
      <c r="E100" s="234"/>
      <c r="F100" s="234"/>
      <c r="G100" s="234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/>
      <c r="C101" s="89"/>
      <c r="D101" s="89"/>
      <c r="E101" s="234"/>
      <c r="F101" s="234"/>
      <c r="G101" s="234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/>
      <c r="C102" s="89"/>
      <c r="D102" s="89"/>
      <c r="E102" s="234"/>
      <c r="F102" s="234"/>
      <c r="G102" s="234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/>
      <c r="C103" s="89"/>
      <c r="D103" s="89"/>
      <c r="E103" s="234"/>
      <c r="F103" s="234"/>
      <c r="G103" s="234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/>
      <c r="C104" s="89"/>
      <c r="D104" s="89"/>
      <c r="E104" s="234"/>
      <c r="F104" s="234"/>
      <c r="G104" s="234"/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/>
      <c r="C105" s="89"/>
      <c r="D105" s="89"/>
      <c r="E105" s="234"/>
      <c r="F105" s="234"/>
      <c r="G105" s="234"/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/>
      <c r="C106" s="89"/>
      <c r="D106" s="89"/>
      <c r="E106" s="234"/>
      <c r="F106" s="234"/>
      <c r="G106" s="234"/>
      <c r="H106" s="66" t="str">
        <f>VLOOKUP(A106,'Tot KPA'!A:H,8,0)</f>
        <v>Other revenue</v>
      </c>
      <c r="I106" s="66">
        <f>VLOOKUP(A106,'Tot KPA'!A:I,9,0)</f>
        <v>0</v>
      </c>
    </row>
    <row r="107" spans="1:9" x14ac:dyDescent="0.35">
      <c r="A107" s="66" t="s">
        <v>2973</v>
      </c>
      <c r="B107" s="89">
        <v>-2000</v>
      </c>
      <c r="C107" s="89">
        <v>-2000</v>
      </c>
      <c r="D107" s="235">
        <f>-29*15</f>
        <v>-435</v>
      </c>
      <c r="E107" s="235">
        <v>-1000</v>
      </c>
      <c r="F107" s="235">
        <v>-1200</v>
      </c>
      <c r="G107" s="235">
        <v>-1400</v>
      </c>
      <c r="H107" s="66" t="str">
        <f>VLOOKUP(A107,'Tot KPA'!A:H,8,0)</f>
        <v>Other revenue</v>
      </c>
      <c r="I107" s="66">
        <f>VLOOKUP(A107,'Tot KPA'!A:I,9,0)</f>
        <v>0</v>
      </c>
    </row>
    <row r="108" spans="1:9" x14ac:dyDescent="0.35">
      <c r="A108" s="66" t="s">
        <v>2969</v>
      </c>
      <c r="B108" s="89">
        <v>-8000</v>
      </c>
      <c r="C108" s="89">
        <v>-8000</v>
      </c>
      <c r="D108" s="235">
        <v>-7500</v>
      </c>
      <c r="E108" s="235">
        <v>-8000</v>
      </c>
      <c r="F108" s="235">
        <v>-8500</v>
      </c>
      <c r="G108" s="235">
        <v>-9000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/>
      <c r="C109" s="89"/>
      <c r="D109" s="235"/>
      <c r="E109" s="89"/>
      <c r="F109" s="89"/>
      <c r="G109" s="89"/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/>
      <c r="C110" s="89"/>
      <c r="D110" s="235"/>
      <c r="E110" s="89"/>
      <c r="F110" s="89"/>
      <c r="G110" s="89"/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/>
      <c r="C111" s="89"/>
      <c r="D111" s="235"/>
      <c r="E111" s="89"/>
      <c r="F111" s="89"/>
      <c r="G111" s="89"/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/>
      <c r="C112" s="89"/>
      <c r="D112" s="235"/>
      <c r="E112" s="89"/>
      <c r="F112" s="89"/>
      <c r="G112" s="89"/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/>
      <c r="C113" s="89"/>
      <c r="D113" s="235"/>
      <c r="E113" s="89"/>
      <c r="F113" s="89"/>
      <c r="G113" s="89"/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/>
      <c r="C114" s="89"/>
      <c r="D114" s="235"/>
      <c r="E114" s="89"/>
      <c r="F114" s="89"/>
      <c r="G114" s="89"/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235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235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235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/>
      <c r="C118" s="89"/>
      <c r="D118" s="235"/>
      <c r="E118" s="89"/>
      <c r="F118" s="89"/>
      <c r="G118" s="89"/>
      <c r="H118" s="66" t="str">
        <f>VLOOKUP(A118,'Tot KPA'!A:H,8,0)</f>
        <v>Fines</v>
      </c>
      <c r="I118" s="66">
        <f>VLOOKUP(A118,'Tot KPA'!A:I,9,0)</f>
        <v>0</v>
      </c>
    </row>
    <row r="119" spans="1:9" x14ac:dyDescent="0.35">
      <c r="A119" s="66" t="s">
        <v>2970</v>
      </c>
      <c r="B119" s="89">
        <v>-2300</v>
      </c>
      <c r="C119" s="89">
        <v>-2300</v>
      </c>
      <c r="D119" s="235">
        <v>-1600</v>
      </c>
      <c r="E119" s="235">
        <v>-2000</v>
      </c>
      <c r="F119" s="235">
        <v>-2000</v>
      </c>
      <c r="G119" s="235">
        <v>-2000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-148500</v>
      </c>
      <c r="C121" s="112">
        <f t="shared" si="0"/>
        <v>-62500</v>
      </c>
      <c r="D121" s="112">
        <f t="shared" si="0"/>
        <v>-120709</v>
      </c>
      <c r="E121" s="112">
        <f t="shared" si="0"/>
        <v>-138200</v>
      </c>
      <c r="F121" s="112">
        <f t="shared" si="0"/>
        <v>-144800</v>
      </c>
      <c r="G121" s="112">
        <f t="shared" si="0"/>
        <v>-151900</v>
      </c>
      <c r="H121" s="66"/>
      <c r="I121" s="66"/>
    </row>
    <row r="122" spans="1:9" ht="15" thickTop="1" x14ac:dyDescent="0.35">
      <c r="H122" s="66"/>
      <c r="I122" s="66"/>
    </row>
    <row r="123" spans="1:9" x14ac:dyDescent="0.35">
      <c r="A123" s="126" t="s">
        <v>2683</v>
      </c>
      <c r="H123" s="66"/>
      <c r="I123" s="66"/>
    </row>
    <row r="124" spans="1:9" x14ac:dyDescent="0.35">
      <c r="A124" s="126"/>
      <c r="H124" s="66"/>
      <c r="I124" s="66"/>
    </row>
    <row r="125" spans="1:9" hidden="1" x14ac:dyDescent="0.35">
      <c r="A125" s="66" t="s">
        <v>3438</v>
      </c>
      <c r="B125" s="89">
        <v>23100</v>
      </c>
      <c r="C125" s="89">
        <v>23100</v>
      </c>
      <c r="D125" s="235">
        <v>24200</v>
      </c>
      <c r="E125" s="235">
        <v>28200</v>
      </c>
      <c r="F125" s="235">
        <v>29500</v>
      </c>
      <c r="G125" s="235">
        <v>30900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15000</v>
      </c>
      <c r="C126" s="89">
        <v>15000</v>
      </c>
      <c r="D126" s="235">
        <v>0</v>
      </c>
      <c r="E126" s="235">
        <v>16000</v>
      </c>
      <c r="F126" s="235">
        <v>0</v>
      </c>
      <c r="G126" s="235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150000</v>
      </c>
      <c r="C127" s="89"/>
      <c r="D127" s="235">
        <v>0</v>
      </c>
      <c r="E127" s="235">
        <v>70000</v>
      </c>
      <c r="F127" s="235">
        <v>73300</v>
      </c>
      <c r="G127" s="235">
        <v>76700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43000</v>
      </c>
      <c r="C128" s="89">
        <v>43000</v>
      </c>
      <c r="D128" s="235">
        <v>31985.32</v>
      </c>
      <c r="E128" s="235">
        <v>104000</v>
      </c>
      <c r="F128" s="235">
        <v>45300</v>
      </c>
      <c r="G128" s="235">
        <v>47700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/>
      <c r="C129" s="89"/>
      <c r="D129" s="89"/>
      <c r="E129" s="89"/>
      <c r="F129" s="89"/>
      <c r="G129" s="89"/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/>
      <c r="C130" s="89"/>
      <c r="D130" s="89"/>
      <c r="E130" s="89"/>
      <c r="F130" s="89"/>
      <c r="G130" s="89"/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/>
      <c r="C131" s="89"/>
      <c r="D131" s="89"/>
      <c r="E131" s="89"/>
      <c r="F131" s="89"/>
      <c r="G131" s="89"/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/>
      <c r="C132" s="89"/>
      <c r="D132" s="89"/>
      <c r="E132" s="89"/>
      <c r="F132" s="89"/>
      <c r="G132" s="89"/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/>
      <c r="C133" s="89"/>
      <c r="D133" s="89"/>
      <c r="E133" s="89"/>
      <c r="F133" s="89"/>
      <c r="G133" s="89"/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25000</v>
      </c>
      <c r="C135" s="89">
        <v>25000</v>
      </c>
      <c r="D135" s="235">
        <f>1750*12</f>
        <v>21000</v>
      </c>
      <c r="E135" s="235">
        <v>25000</v>
      </c>
      <c r="F135" s="235">
        <v>26400</v>
      </c>
      <c r="G135" s="235">
        <v>27800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234"/>
      <c r="F136" s="234"/>
      <c r="G136" s="234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234"/>
      <c r="F137" s="234"/>
      <c r="G137" s="234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234"/>
      <c r="F138" s="234"/>
      <c r="G138" s="234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234"/>
      <c r="F139" s="234"/>
      <c r="G139" s="234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234"/>
      <c r="F140" s="234"/>
      <c r="G140" s="234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234"/>
      <c r="F141" s="234"/>
      <c r="G141" s="234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234"/>
      <c r="F142" s="234"/>
      <c r="G142" s="234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234"/>
      <c r="F143" s="234"/>
      <c r="G143" s="234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234"/>
      <c r="F144" s="234"/>
      <c r="G144" s="234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234"/>
      <c r="F145" s="234"/>
      <c r="G145" s="234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234"/>
      <c r="F146" s="234"/>
      <c r="G146" s="234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234"/>
      <c r="F147" s="234"/>
      <c r="G147" s="234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234"/>
      <c r="F148" s="234"/>
      <c r="G148" s="234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234"/>
      <c r="F149" s="234"/>
      <c r="G149" s="234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234"/>
      <c r="F150" s="234"/>
      <c r="G150" s="234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89"/>
      <c r="E151" s="234"/>
      <c r="F151" s="234"/>
      <c r="G151" s="234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234"/>
      <c r="F152" s="234"/>
      <c r="G152" s="234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234"/>
      <c r="F153" s="234"/>
      <c r="G153" s="234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>
        <v>25000</v>
      </c>
      <c r="C154" s="89">
        <v>25000</v>
      </c>
      <c r="D154" s="235">
        <v>29512.67</v>
      </c>
      <c r="E154" s="235"/>
      <c r="F154" s="235">
        <v>0</v>
      </c>
      <c r="G154" s="235">
        <v>0</v>
      </c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>
        <v>0</v>
      </c>
      <c r="C155" s="89">
        <v>0</v>
      </c>
      <c r="D155" s="89"/>
      <c r="E155" s="235">
        <v>0</v>
      </c>
      <c r="F155" s="235">
        <v>0</v>
      </c>
      <c r="G155" s="235">
        <v>0</v>
      </c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>
        <v>10000</v>
      </c>
      <c r="C156" s="89">
        <v>10000</v>
      </c>
      <c r="D156" s="235">
        <v>12816.94</v>
      </c>
      <c r="E156" s="235">
        <v>15000</v>
      </c>
      <c r="F156" s="235">
        <v>0</v>
      </c>
      <c r="G156" s="235">
        <v>0</v>
      </c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>
        <v>8000</v>
      </c>
      <c r="C161" s="89">
        <v>8000</v>
      </c>
      <c r="D161" s="235">
        <v>6254</v>
      </c>
      <c r="E161" s="235">
        <v>8000</v>
      </c>
      <c r="F161" s="235">
        <v>8500</v>
      </c>
      <c r="G161" s="235">
        <v>9000</v>
      </c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235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235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235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235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235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235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235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235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235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>
        <v>16000</v>
      </c>
      <c r="C171" s="89">
        <v>16000</v>
      </c>
      <c r="D171" s="235">
        <v>13500</v>
      </c>
      <c r="E171" s="235">
        <v>16000</v>
      </c>
      <c r="F171" s="235">
        <v>16900</v>
      </c>
      <c r="G171" s="235">
        <v>17800</v>
      </c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235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235"/>
      <c r="E173" s="89"/>
      <c r="F173" s="89"/>
      <c r="G173" s="89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235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235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235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235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235"/>
      <c r="E178" s="89"/>
      <c r="F178" s="89"/>
      <c r="G178" s="89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235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235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235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235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1300</v>
      </c>
      <c r="C183" s="89">
        <v>1300</v>
      </c>
      <c r="D183" s="235">
        <v>1299.18</v>
      </c>
      <c r="E183" s="235">
        <v>1500</v>
      </c>
      <c r="F183" s="235">
        <v>1600</v>
      </c>
      <c r="G183" s="235">
        <v>1700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297200</v>
      </c>
      <c r="C184" s="89">
        <v>297200</v>
      </c>
      <c r="D184" s="235">
        <v>212819.6</v>
      </c>
      <c r="E184" s="235">
        <v>244800</v>
      </c>
      <c r="F184" s="235">
        <v>260800</v>
      </c>
      <c r="G184" s="235">
        <v>277800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>
        <v>7200</v>
      </c>
      <c r="C185" s="89">
        <v>7200</v>
      </c>
      <c r="D185" s="235">
        <v>7200</v>
      </c>
      <c r="E185" s="235">
        <v>7200</v>
      </c>
      <c r="F185" s="235">
        <v>7200</v>
      </c>
      <c r="G185" s="235">
        <v>7200</v>
      </c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30900</v>
      </c>
      <c r="C186" s="89">
        <v>30900</v>
      </c>
      <c r="D186" s="235">
        <v>30900</v>
      </c>
      <c r="E186" s="235">
        <v>32700</v>
      </c>
      <c r="F186" s="235">
        <v>34800</v>
      </c>
      <c r="G186" s="235">
        <v>37100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x14ac:dyDescent="0.35">
      <c r="A190" s="66" t="s">
        <v>2904</v>
      </c>
      <c r="B190" s="89"/>
      <c r="C190" s="89"/>
      <c r="D190" s="89"/>
      <c r="E190" s="234"/>
      <c r="F190" s="234"/>
      <c r="G190" s="234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250800</v>
      </c>
      <c r="C191" s="89">
        <v>250800</v>
      </c>
      <c r="D191" s="235">
        <v>213960.87</v>
      </c>
      <c r="E191" s="235">
        <v>223200</v>
      </c>
      <c r="F191" s="235">
        <v>237800</v>
      </c>
      <c r="G191" s="235">
        <v>253300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x14ac:dyDescent="0.35">
      <c r="A192" s="66" t="s">
        <v>3039</v>
      </c>
      <c r="B192" s="89">
        <v>269000</v>
      </c>
      <c r="C192" s="89">
        <v>269000</v>
      </c>
      <c r="D192" s="235">
        <v>258713.12</v>
      </c>
      <c r="E192" s="235">
        <v>297000</v>
      </c>
      <c r="F192" s="235">
        <v>310700</v>
      </c>
      <c r="G192" s="235">
        <v>325000</v>
      </c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3789800</v>
      </c>
      <c r="C193" s="89">
        <f>3789800-450000</f>
        <v>3339800</v>
      </c>
      <c r="D193" s="235">
        <v>3169512.88</v>
      </c>
      <c r="E193" s="235">
        <v>3360000</v>
      </c>
      <c r="F193" s="235">
        <f>+E193*1.065</f>
        <v>3578400</v>
      </c>
      <c r="G193" s="235">
        <v>3811000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>
        <v>73100</v>
      </c>
      <c r="C197" s="89">
        <v>73100</v>
      </c>
      <c r="D197" s="235">
        <v>73100</v>
      </c>
      <c r="E197" s="235">
        <v>73100</v>
      </c>
      <c r="F197" s="235">
        <v>73100</v>
      </c>
      <c r="G197" s="235">
        <v>73100</v>
      </c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17900</v>
      </c>
      <c r="C198" s="89">
        <v>17900</v>
      </c>
      <c r="D198" s="235">
        <v>15918.16</v>
      </c>
      <c r="E198" s="235">
        <v>15700</v>
      </c>
      <c r="F198" s="235">
        <v>16700</v>
      </c>
      <c r="G198" s="235">
        <v>17800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>
        <v>4000</v>
      </c>
      <c r="C201" s="89">
        <v>4000</v>
      </c>
      <c r="D201" s="235">
        <v>1987.52</v>
      </c>
      <c r="E201" s="235">
        <v>2000</v>
      </c>
      <c r="F201" s="235">
        <v>2000</v>
      </c>
      <c r="G201" s="235">
        <v>2000</v>
      </c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89"/>
      <c r="F211" s="89"/>
      <c r="G211" s="89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89"/>
      <c r="F212" s="89"/>
      <c r="G212" s="89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89"/>
      <c r="F213" s="89"/>
      <c r="G213" s="89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89"/>
      <c r="F214" s="89"/>
      <c r="G214" s="89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89"/>
      <c r="F216" s="89"/>
      <c r="G216" s="89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>
        <v>180000</v>
      </c>
      <c r="C218" s="89">
        <v>180000</v>
      </c>
      <c r="D218" s="235">
        <v>228519.51</v>
      </c>
      <c r="E218" s="235">
        <v>220000</v>
      </c>
      <c r="F218" s="235">
        <v>230100</v>
      </c>
      <c r="G218" s="235">
        <v>240700</v>
      </c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89"/>
      <c r="F225" s="89"/>
      <c r="G225" s="89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89"/>
      <c r="F226" s="89"/>
      <c r="G226" s="89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89"/>
      <c r="F227" s="89"/>
      <c r="G227" s="89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89"/>
      <c r="F228" s="89"/>
      <c r="G228" s="89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89"/>
      <c r="F232" s="89"/>
      <c r="G232" s="89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f>37900+10800</f>
        <v>48700</v>
      </c>
      <c r="C272" s="89">
        <f>37900+10800</f>
        <v>48700</v>
      </c>
      <c r="D272" s="235">
        <v>47802.84</v>
      </c>
      <c r="E272" s="235">
        <f>33400+10600</f>
        <v>44000</v>
      </c>
      <c r="F272" s="235">
        <v>46900</v>
      </c>
      <c r="G272" s="235">
        <v>50000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235">
        <v>0</v>
      </c>
      <c r="E273" s="235">
        <v>100000</v>
      </c>
      <c r="F273" s="235">
        <v>100000</v>
      </c>
      <c r="G273" s="235">
        <v>100000</v>
      </c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59000</v>
      </c>
      <c r="C274" s="89">
        <v>59000</v>
      </c>
      <c r="D274" s="235">
        <v>51215.39</v>
      </c>
      <c r="E274" s="235">
        <v>59000</v>
      </c>
      <c r="F274" s="235">
        <v>62200</v>
      </c>
      <c r="G274" s="235">
        <v>65600</v>
      </c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>
        <v>7900</v>
      </c>
      <c r="C275" s="89">
        <v>7900</v>
      </c>
      <c r="D275" s="235">
        <v>8250</v>
      </c>
      <c r="E275" s="235">
        <v>8500</v>
      </c>
      <c r="F275" s="235">
        <v>8900</v>
      </c>
      <c r="G275" s="235">
        <v>9400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89"/>
      <c r="E277" s="89"/>
      <c r="F277" s="89"/>
      <c r="G277" s="89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89"/>
      <c r="E278" s="89"/>
      <c r="F278" s="89"/>
      <c r="G278" s="89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135000</v>
      </c>
      <c r="C279" s="89">
        <v>135000</v>
      </c>
      <c r="D279" s="235">
        <v>129025</v>
      </c>
      <c r="E279" s="235">
        <v>135000</v>
      </c>
      <c r="F279" s="235">
        <v>142500</v>
      </c>
      <c r="G279" s="235">
        <v>150400</v>
      </c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>
        <f>116000-10000</f>
        <v>106000</v>
      </c>
      <c r="C280" s="89">
        <f>116000-10000</f>
        <v>106000</v>
      </c>
      <c r="D280" s="235">
        <v>118512.07</v>
      </c>
      <c r="E280" s="235">
        <f>116000-10000+11400</f>
        <v>117400</v>
      </c>
      <c r="F280" s="235">
        <v>122900</v>
      </c>
      <c r="G280" s="235">
        <v>128600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>
        <v>0</v>
      </c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5592900</v>
      </c>
      <c r="C290" s="112">
        <f t="shared" si="1"/>
        <v>4992900</v>
      </c>
      <c r="D290" s="112">
        <f t="shared" si="1"/>
        <v>4708005.07</v>
      </c>
      <c r="E290" s="112">
        <f t="shared" si="1"/>
        <v>5223300</v>
      </c>
      <c r="F290" s="112">
        <f t="shared" si="1"/>
        <v>5436500</v>
      </c>
      <c r="G290" s="112">
        <f t="shared" si="1"/>
        <v>5760600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5444400</v>
      </c>
      <c r="C292" s="112">
        <f t="shared" si="2"/>
        <v>4930400</v>
      </c>
      <c r="D292" s="112">
        <f t="shared" si="2"/>
        <v>4587296.07</v>
      </c>
      <c r="E292" s="112">
        <f t="shared" si="2"/>
        <v>5085100</v>
      </c>
      <c r="F292" s="112">
        <f t="shared" si="2"/>
        <v>5291700</v>
      </c>
      <c r="G292" s="112">
        <f t="shared" si="2"/>
        <v>5608700</v>
      </c>
    </row>
    <row r="293" spans="1:7" ht="15" thickTop="1" x14ac:dyDescent="0.35"/>
  </sheetData>
  <autoFilter ref="F124:H288" xr:uid="{CCC6FF30-57C9-44E3-8FEE-3F5B5FAD0BB1}">
    <filterColumn colId="2">
      <filters>
        <filter val="Employee related cost"/>
      </filters>
    </filterColumn>
  </autoFilter>
  <sortState xmlns:xlrd2="http://schemas.microsoft.com/office/spreadsheetml/2017/richdata2" ref="A125:I288">
    <sortCondition ref="A125:A288"/>
  </sortState>
  <pageMargins left="0.7" right="0.7" top="0.75" bottom="0.75" header="0.3" footer="0.3"/>
  <pageSetup scale="1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/>
    <pageSetUpPr fitToPage="1"/>
  </sheetPr>
  <dimension ref="A1:I293"/>
  <sheetViews>
    <sheetView zoomScale="69" zoomScaleNormal="69" workbookViewId="0">
      <selection activeCell="E183" sqref="E183:E198"/>
    </sheetView>
  </sheetViews>
  <sheetFormatPr defaultColWidth="9.1796875" defaultRowHeight="14.5" x14ac:dyDescent="0.35"/>
  <cols>
    <col min="1" max="1" width="61.36328125" style="113" customWidth="1"/>
    <col min="2" max="2" width="21.81640625" style="113" customWidth="1"/>
    <col min="3" max="3" width="21.26953125" style="111" customWidth="1"/>
    <col min="4" max="4" width="20.26953125" style="111" customWidth="1"/>
    <col min="5" max="5" width="19.26953125" style="113" customWidth="1"/>
    <col min="6" max="6" width="18.26953125" style="113" customWidth="1"/>
    <col min="7" max="7" width="20.54296875" style="113" customWidth="1"/>
    <col min="8" max="8" width="36.54296875" style="113" customWidth="1"/>
    <col min="9" max="9" width="33.453125" style="113" customWidth="1"/>
    <col min="10" max="16384" width="9.1796875" style="113"/>
  </cols>
  <sheetData>
    <row r="1" spans="1:9" ht="15" thickBot="1" x14ac:dyDescent="0.4">
      <c r="F1" s="118">
        <v>7</v>
      </c>
      <c r="G1" s="118"/>
    </row>
    <row r="2" spans="1:9" ht="15" thickBot="1" x14ac:dyDescent="0.4">
      <c r="A2" s="120" t="s">
        <v>2805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2682</v>
      </c>
      <c r="B4" s="111"/>
      <c r="E4" s="111"/>
      <c r="F4" s="116"/>
      <c r="G4" s="116"/>
    </row>
    <row r="5" spans="1:9" x14ac:dyDescent="0.35">
      <c r="A5" s="126"/>
      <c r="B5" s="111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t="15.75" hidden="1" customHeight="1" x14ac:dyDescent="0.35">
      <c r="A7" s="66" t="s">
        <v>2833</v>
      </c>
      <c r="B7" s="89"/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t="15.75" hidden="1" customHeight="1" x14ac:dyDescent="0.35">
      <c r="A8" s="66" t="s">
        <v>2979</v>
      </c>
      <c r="B8" s="89"/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/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/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/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/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/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/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/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/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/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/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/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/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/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/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/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/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/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/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/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/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/>
      <c r="C92" s="89"/>
      <c r="D92" s="89"/>
      <c r="E92" s="89"/>
      <c r="F92" s="89"/>
      <c r="G92" s="89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/>
      <c r="C93" s="89"/>
      <c r="D93" s="89"/>
      <c r="E93" s="89"/>
      <c r="F93" s="89"/>
      <c r="G93" s="89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/>
      <c r="C94" s="89"/>
      <c r="D94" s="89"/>
      <c r="E94" s="89"/>
      <c r="F94" s="89"/>
      <c r="G94" s="89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/>
      <c r="C95" s="89"/>
      <c r="D95" s="89"/>
      <c r="E95" s="89"/>
      <c r="F95" s="89"/>
      <c r="G95" s="89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/>
      <c r="C96" s="89"/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/>
      <c r="C100" s="89"/>
      <c r="D100" s="89"/>
      <c r="E100" s="89"/>
      <c r="F100" s="89"/>
      <c r="G100" s="89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/>
      <c r="C101" s="89"/>
      <c r="D101" s="89"/>
      <c r="E101" s="89"/>
      <c r="F101" s="89"/>
      <c r="G101" s="89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/>
      <c r="C102" s="89"/>
      <c r="D102" s="89"/>
      <c r="E102" s="89"/>
      <c r="F102" s="89"/>
      <c r="G102" s="89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/>
      <c r="C103" s="89"/>
      <c r="D103" s="89"/>
      <c r="E103" s="89"/>
      <c r="F103" s="89"/>
      <c r="G103" s="89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/>
      <c r="C104" s="89"/>
      <c r="D104" s="89"/>
      <c r="E104" s="89"/>
      <c r="F104" s="89"/>
      <c r="G104" s="89"/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/>
      <c r="C105" s="89"/>
      <c r="D105" s="89"/>
      <c r="E105" s="89"/>
      <c r="F105" s="89"/>
      <c r="G105" s="89"/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/>
      <c r="C106" s="89"/>
      <c r="D106" s="89"/>
      <c r="E106" s="89"/>
      <c r="F106" s="89"/>
      <c r="G106" s="89"/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/>
      <c r="C107" s="89"/>
      <c r="D107" s="89"/>
      <c r="E107" s="89"/>
      <c r="F107" s="89"/>
      <c r="G107" s="89"/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/>
      <c r="C108" s="89"/>
      <c r="D108" s="89"/>
      <c r="E108" s="89"/>
      <c r="F108" s="89"/>
      <c r="G108" s="89"/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/>
      <c r="C109" s="89"/>
      <c r="D109" s="89"/>
      <c r="E109" s="89"/>
      <c r="F109" s="89"/>
      <c r="G109" s="89"/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/>
      <c r="C110" s="89"/>
      <c r="D110" s="89"/>
      <c r="E110" s="89"/>
      <c r="F110" s="89"/>
      <c r="G110" s="89"/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/>
      <c r="C111" s="89"/>
      <c r="D111" s="89"/>
      <c r="E111" s="89"/>
      <c r="F111" s="89"/>
      <c r="G111" s="89"/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/>
      <c r="C112" s="89"/>
      <c r="D112" s="89"/>
      <c r="E112" s="89"/>
      <c r="F112" s="89"/>
      <c r="G112" s="89"/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/>
      <c r="C113" s="89"/>
      <c r="D113" s="89"/>
      <c r="E113" s="89"/>
      <c r="F113" s="89"/>
      <c r="G113" s="89"/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/>
      <c r="C114" s="89"/>
      <c r="D114" s="89"/>
      <c r="E114" s="89"/>
      <c r="F114" s="89"/>
      <c r="G114" s="89"/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/>
      <c r="C118" s="89"/>
      <c r="D118" s="89"/>
      <c r="E118" s="89"/>
      <c r="F118" s="89"/>
      <c r="G118" s="89"/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/>
      <c r="C119" s="89"/>
      <c r="D119" s="89"/>
      <c r="E119" s="89"/>
      <c r="F119" s="89"/>
      <c r="G119" s="89"/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0</v>
      </c>
      <c r="C121" s="112">
        <f t="shared" si="0"/>
        <v>0</v>
      </c>
      <c r="D121" s="112">
        <f t="shared" si="0"/>
        <v>0</v>
      </c>
      <c r="E121" s="112">
        <f t="shared" si="0"/>
        <v>0</v>
      </c>
      <c r="F121" s="112">
        <f t="shared" si="0"/>
        <v>0</v>
      </c>
      <c r="G121" s="112">
        <f t="shared" si="0"/>
        <v>0</v>
      </c>
      <c r="H121" s="66"/>
      <c r="I121" s="66"/>
    </row>
    <row r="122" spans="1:9" ht="15" thickTop="1" x14ac:dyDescent="0.35">
      <c r="H122" s="66"/>
      <c r="I122" s="66"/>
    </row>
    <row r="123" spans="1:9" x14ac:dyDescent="0.35">
      <c r="A123" s="126" t="s">
        <v>2683</v>
      </c>
      <c r="H123" s="66"/>
      <c r="I123" s="66"/>
    </row>
    <row r="124" spans="1:9" x14ac:dyDescent="0.35">
      <c r="A124" s="126"/>
      <c r="H124" s="66"/>
      <c r="I124" s="66"/>
    </row>
    <row r="125" spans="1:9" hidden="1" x14ac:dyDescent="0.35">
      <c r="A125" s="66" t="s">
        <v>3438</v>
      </c>
      <c r="B125" s="89"/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/>
      <c r="C126" s="89"/>
      <c r="D126" s="89"/>
      <c r="E126" s="89"/>
      <c r="F126" s="89"/>
      <c r="G126" s="89"/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/>
      <c r="C127" s="89"/>
      <c r="D127" s="89"/>
      <c r="E127" s="89"/>
      <c r="F127" s="89"/>
      <c r="G127" s="89"/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/>
      <c r="C128" s="89"/>
      <c r="D128" s="89"/>
      <c r="E128" s="89"/>
      <c r="F128" s="89"/>
      <c r="G128" s="89"/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/>
      <c r="C129" s="89"/>
      <c r="D129" s="89"/>
      <c r="E129" s="89"/>
      <c r="F129" s="89"/>
      <c r="G129" s="89"/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/>
      <c r="C130" s="89"/>
      <c r="D130" s="89"/>
      <c r="E130" s="89"/>
      <c r="F130" s="89"/>
      <c r="G130" s="89"/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/>
      <c r="C131" s="89"/>
      <c r="D131" s="89"/>
      <c r="E131" s="89"/>
      <c r="F131" s="89"/>
      <c r="G131" s="89"/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/>
      <c r="C132" s="89"/>
      <c r="D132" s="89"/>
      <c r="E132" s="89"/>
      <c r="F132" s="89"/>
      <c r="G132" s="89"/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/>
      <c r="C133" s="89"/>
      <c r="D133" s="89"/>
      <c r="E133" s="89"/>
      <c r="F133" s="89"/>
      <c r="G133" s="89"/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89"/>
      <c r="F135" s="89"/>
      <c r="G135" s="89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>
        <v>0</v>
      </c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>
        <v>0</v>
      </c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>
        <v>0</v>
      </c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>
        <v>0</v>
      </c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>
        <v>0</v>
      </c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>
        <v>0</v>
      </c>
      <c r="C167" s="89"/>
      <c r="D167" s="89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>
        <v>0</v>
      </c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>
        <v>0</v>
      </c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>
        <v>0</v>
      </c>
      <c r="C170" s="89"/>
      <c r="D170" s="89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89"/>
      <c r="F173" s="89"/>
      <c r="G173" s="89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89"/>
      <c r="F178" s="89"/>
      <c r="G178" s="89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100</v>
      </c>
      <c r="C183" s="89">
        <v>100</v>
      </c>
      <c r="D183" s="235">
        <v>118.8</v>
      </c>
      <c r="E183" s="235">
        <v>200</v>
      </c>
      <c r="F183" s="235">
        <v>200</v>
      </c>
      <c r="G183" s="235">
        <v>200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151200</v>
      </c>
      <c r="C184" s="89">
        <v>151200</v>
      </c>
      <c r="D184" s="235">
        <f>143076.68-1500</f>
        <v>141576.68</v>
      </c>
      <c r="E184" s="235">
        <v>153400</v>
      </c>
      <c r="F184" s="235">
        <v>159600</v>
      </c>
      <c r="G184" s="235">
        <v>166000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>
        <v>12000</v>
      </c>
      <c r="C185" s="89">
        <v>12000</v>
      </c>
      <c r="D185" s="235">
        <v>12000</v>
      </c>
      <c r="E185" s="235">
        <v>24000</v>
      </c>
      <c r="F185" s="235">
        <v>24000</v>
      </c>
      <c r="G185" s="235">
        <v>24000</v>
      </c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/>
      <c r="C186" s="89"/>
      <c r="D186" s="235"/>
      <c r="E186" s="235"/>
      <c r="F186" s="235"/>
      <c r="G186" s="235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235"/>
      <c r="E187" s="235"/>
      <c r="F187" s="235"/>
      <c r="G187" s="235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235"/>
      <c r="E188" s="235"/>
      <c r="F188" s="235"/>
      <c r="G188" s="235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235"/>
      <c r="E189" s="235"/>
      <c r="F189" s="235"/>
      <c r="G189" s="235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235"/>
      <c r="E190" s="235"/>
      <c r="F190" s="235"/>
      <c r="G190" s="235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/>
      <c r="C191" s="89"/>
      <c r="D191" s="235"/>
      <c r="E191" s="235"/>
      <c r="F191" s="235"/>
      <c r="G191" s="235"/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235"/>
      <c r="E192" s="235"/>
      <c r="F192" s="235"/>
      <c r="G192" s="235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1079600</v>
      </c>
      <c r="C193" s="89">
        <v>1079600</v>
      </c>
      <c r="D193" s="235">
        <f>1021976.28-3000</f>
        <v>1018976.28</v>
      </c>
      <c r="E193" s="235">
        <v>1095000</v>
      </c>
      <c r="F193" s="235">
        <v>1105600</v>
      </c>
      <c r="G193" s="235">
        <v>1177500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235"/>
      <c r="E194" s="235"/>
      <c r="F194" s="235"/>
      <c r="G194" s="235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235"/>
      <c r="E195" s="235"/>
      <c r="F195" s="235"/>
      <c r="G195" s="235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235"/>
      <c r="E196" s="235"/>
      <c r="F196" s="235"/>
      <c r="G196" s="235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235"/>
      <c r="E197" s="235"/>
      <c r="F197" s="235"/>
      <c r="G197" s="235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1500</v>
      </c>
      <c r="C198" s="89">
        <v>1500</v>
      </c>
      <c r="D198" s="235">
        <v>1724.64</v>
      </c>
      <c r="E198" s="235">
        <v>2000</v>
      </c>
      <c r="F198" s="235">
        <v>2100</v>
      </c>
      <c r="G198" s="235">
        <v>2200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89"/>
      <c r="F201" s="89"/>
      <c r="G201" s="89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89"/>
      <c r="F211" s="89"/>
      <c r="G211" s="89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89"/>
      <c r="F212" s="89"/>
      <c r="G212" s="89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89"/>
      <c r="F213" s="89"/>
      <c r="G213" s="89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89"/>
      <c r="F214" s="89"/>
      <c r="G214" s="89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89"/>
      <c r="F216" s="89"/>
      <c r="G216" s="89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89"/>
      <c r="F225" s="89"/>
      <c r="G225" s="89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89"/>
      <c r="F226" s="89"/>
      <c r="G226" s="89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89"/>
      <c r="F227" s="89"/>
      <c r="G227" s="89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89"/>
      <c r="F228" s="89"/>
      <c r="G228" s="89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89"/>
      <c r="F232" s="89"/>
      <c r="G232" s="89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127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/>
      <c r="C272" s="89"/>
      <c r="D272" s="89"/>
      <c r="E272" s="89"/>
      <c r="F272" s="89"/>
      <c r="G272" s="89"/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89"/>
      <c r="E275" s="89"/>
      <c r="F275" s="89"/>
      <c r="G275" s="89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89"/>
      <c r="E277" s="89"/>
      <c r="F277" s="89"/>
      <c r="G277" s="89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89"/>
      <c r="E278" s="89"/>
      <c r="F278" s="89"/>
      <c r="G278" s="89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89"/>
      <c r="E279" s="89"/>
      <c r="F279" s="89"/>
      <c r="G279" s="89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89"/>
      <c r="E280" s="89"/>
      <c r="F280" s="89"/>
      <c r="G280" s="89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/>
      <c r="C281" s="89"/>
      <c r="D281" s="89"/>
      <c r="E281" s="89"/>
      <c r="F281" s="89"/>
      <c r="G281" s="89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/>
      <c r="C282" s="89"/>
      <c r="D282" s="89"/>
      <c r="E282" s="89"/>
      <c r="F282" s="89"/>
      <c r="G282" s="89"/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/>
      <c r="C283" s="89"/>
      <c r="D283" s="89"/>
      <c r="E283" s="89"/>
      <c r="F283" s="89"/>
      <c r="G283" s="89"/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/>
      <c r="C284" s="89"/>
      <c r="D284" s="89"/>
      <c r="E284" s="89"/>
      <c r="F284" s="89"/>
      <c r="G284" s="89"/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/>
      <c r="C285" s="89"/>
      <c r="D285" s="89"/>
      <c r="E285" s="89"/>
      <c r="F285" s="89"/>
      <c r="G285" s="89"/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/>
      <c r="C286" s="89"/>
      <c r="D286" s="89"/>
      <c r="E286" s="89"/>
      <c r="F286" s="89"/>
      <c r="G286" s="89"/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/>
      <c r="C287" s="89"/>
      <c r="D287" s="89"/>
      <c r="E287" s="89"/>
      <c r="F287" s="89"/>
      <c r="G287" s="89"/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/>
      <c r="C288" s="89"/>
      <c r="D288" s="89"/>
      <c r="E288" s="89"/>
      <c r="F288" s="89"/>
      <c r="G288" s="89"/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1244400</v>
      </c>
      <c r="C290" s="112">
        <f t="shared" si="1"/>
        <v>1244400</v>
      </c>
      <c r="D290" s="112">
        <f t="shared" si="1"/>
        <v>1174396.3999999999</v>
      </c>
      <c r="E290" s="112">
        <f t="shared" si="1"/>
        <v>1274600</v>
      </c>
      <c r="F290" s="112">
        <f t="shared" si="1"/>
        <v>1291500</v>
      </c>
      <c r="G290" s="112">
        <f t="shared" si="1"/>
        <v>1369900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1244400</v>
      </c>
      <c r="C292" s="112">
        <f t="shared" si="2"/>
        <v>1244400</v>
      </c>
      <c r="D292" s="112">
        <f t="shared" si="2"/>
        <v>1174396.3999999999</v>
      </c>
      <c r="E292" s="112">
        <f t="shared" si="2"/>
        <v>1274600</v>
      </c>
      <c r="F292" s="112">
        <f t="shared" si="2"/>
        <v>1291500</v>
      </c>
      <c r="G292" s="112">
        <f t="shared" si="2"/>
        <v>1369900</v>
      </c>
    </row>
    <row r="293" spans="1:7" ht="15" thickTop="1" x14ac:dyDescent="0.35"/>
  </sheetData>
  <sortState xmlns:xlrd2="http://schemas.microsoft.com/office/spreadsheetml/2017/richdata2" ref="A125:I288">
    <sortCondition ref="A125:A288"/>
  </sortState>
  <pageMargins left="0.7" right="0.7" top="0.75" bottom="0.75" header="0.3" footer="0.3"/>
  <pageSetup scale="6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tabColor theme="3"/>
    <pageSetUpPr fitToPage="1"/>
  </sheetPr>
  <dimension ref="A1:K296"/>
  <sheetViews>
    <sheetView topLeftCell="A58" zoomScale="69" zoomScaleNormal="69" workbookViewId="0">
      <selection activeCell="H184" sqref="H184"/>
    </sheetView>
  </sheetViews>
  <sheetFormatPr defaultColWidth="9.1796875" defaultRowHeight="14.5" x14ac:dyDescent="0.35"/>
  <cols>
    <col min="1" max="1" width="61.36328125" style="113" customWidth="1"/>
    <col min="2" max="3" width="18.7265625" style="113" customWidth="1"/>
    <col min="4" max="4" width="18.7265625" style="111" customWidth="1"/>
    <col min="5" max="6" width="19.1796875" style="113" bestFit="1" customWidth="1"/>
    <col min="7" max="7" width="18.7265625" style="113" bestFit="1" customWidth="1"/>
    <col min="8" max="8" width="36.54296875" style="113" customWidth="1"/>
    <col min="9" max="9" width="33.7265625" style="113" hidden="1" customWidth="1"/>
    <col min="10" max="10" width="9.1796875" style="113"/>
    <col min="11" max="11" width="13.81640625" style="113" customWidth="1"/>
    <col min="12" max="16384" width="9.1796875" style="113"/>
  </cols>
  <sheetData>
    <row r="1" spans="1:9" ht="15" thickBot="1" x14ac:dyDescent="0.4">
      <c r="F1" s="118">
        <v>8</v>
      </c>
      <c r="G1" s="118"/>
    </row>
    <row r="2" spans="1:9" ht="29.5" thickBot="1" x14ac:dyDescent="0.4">
      <c r="A2" s="120" t="s">
        <v>2806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2684</v>
      </c>
      <c r="B4" s="111"/>
      <c r="C4" s="111"/>
      <c r="E4" s="111"/>
      <c r="F4" s="116"/>
      <c r="G4" s="116"/>
    </row>
    <row r="5" spans="1:9" x14ac:dyDescent="0.35">
      <c r="A5" s="126"/>
      <c r="B5" s="111"/>
      <c r="C5" s="111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>
        <v>0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>
        <v>0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>
        <v>0</v>
      </c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>
        <v>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>
        <v>0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>
        <v>0</v>
      </c>
      <c r="C54" s="89">
        <v>0</v>
      </c>
      <c r="D54" s="89">
        <v>0</v>
      </c>
      <c r="E54" s="89">
        <v>0</v>
      </c>
      <c r="F54" s="89">
        <v>0</v>
      </c>
      <c r="G54" s="89">
        <v>0</v>
      </c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>
        <v>0</v>
      </c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>
        <v>0</v>
      </c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>
        <v>0</v>
      </c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66" t="str">
        <f>VLOOKUP(A57,'Tot KPA'!A:H,8,0)</f>
        <v>Other revenue</v>
      </c>
      <c r="I57" s="66">
        <f>VLOOKUP(A57,'Tot KPA'!A:I,9,0)</f>
        <v>0</v>
      </c>
    </row>
    <row r="58" spans="1:9" x14ac:dyDescent="0.35">
      <c r="A58" s="66" t="s">
        <v>2889</v>
      </c>
      <c r="B58" s="89">
        <v>-1600</v>
      </c>
      <c r="C58" s="89">
        <v>-1600</v>
      </c>
      <c r="D58" s="235">
        <v>-900</v>
      </c>
      <c r="E58" s="235">
        <v>-1700</v>
      </c>
      <c r="F58" s="235">
        <v>-1800</v>
      </c>
      <c r="G58" s="235">
        <v>-1800</v>
      </c>
      <c r="H58" s="66" t="str">
        <f>VLOOKUP(A58,'Tot KPA'!A:H,8,0)</f>
        <v xml:space="preserve">Fines </v>
      </c>
      <c r="I58" s="66">
        <f>VLOOKUP(A58,'Tot KPA'!A:I,9,0)</f>
        <v>0</v>
      </c>
    </row>
    <row r="59" spans="1:9" x14ac:dyDescent="0.35">
      <c r="A59" s="66" t="s">
        <v>2888</v>
      </c>
      <c r="B59" s="89">
        <v>-1497000</v>
      </c>
      <c r="C59" s="89">
        <f>-1497000+86000</f>
        <v>-1411000</v>
      </c>
      <c r="D59" s="235">
        <v>-1497000</v>
      </c>
      <c r="E59" s="235">
        <v>-1667000</v>
      </c>
      <c r="F59" s="235">
        <v>-1744000</v>
      </c>
      <c r="G59" s="235">
        <v>-1825000</v>
      </c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x14ac:dyDescent="0.35">
      <c r="A60" s="66" t="s">
        <v>2982</v>
      </c>
      <c r="B60" s="89">
        <v>-4800</v>
      </c>
      <c r="C60" s="89">
        <v>-4800</v>
      </c>
      <c r="D60" s="235">
        <v>-900</v>
      </c>
      <c r="E60" s="235">
        <v>-1000</v>
      </c>
      <c r="F60" s="235">
        <v>-1000</v>
      </c>
      <c r="G60" s="235">
        <v>-1000</v>
      </c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x14ac:dyDescent="0.35">
      <c r="A61" s="66" t="s">
        <v>2839</v>
      </c>
      <c r="B61" s="89">
        <v>-1300</v>
      </c>
      <c r="C61" s="89">
        <v>-1300</v>
      </c>
      <c r="D61" s="235">
        <v>-800</v>
      </c>
      <c r="E61" s="235">
        <v>-1400</v>
      </c>
      <c r="F61" s="235">
        <v>-1400</v>
      </c>
      <c r="G61" s="235">
        <v>-1500</v>
      </c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>
        <v>0</v>
      </c>
      <c r="C62" s="89">
        <v>0</v>
      </c>
      <c r="D62" s="89"/>
      <c r="E62" s="89">
        <v>0</v>
      </c>
      <c r="F62" s="89">
        <v>0</v>
      </c>
      <c r="G62" s="89">
        <v>0</v>
      </c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>
        <v>0</v>
      </c>
      <c r="C63" s="89">
        <v>0</v>
      </c>
      <c r="D63" s="89"/>
      <c r="E63" s="89">
        <v>0</v>
      </c>
      <c r="F63" s="89">
        <v>0</v>
      </c>
      <c r="G63" s="89">
        <v>0</v>
      </c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>
        <v>0</v>
      </c>
      <c r="C64" s="89">
        <v>0</v>
      </c>
      <c r="D64" s="89"/>
      <c r="E64" s="89">
        <v>0</v>
      </c>
      <c r="F64" s="89">
        <v>0</v>
      </c>
      <c r="G64" s="89">
        <v>0</v>
      </c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>
        <v>0</v>
      </c>
      <c r="C65" s="89">
        <v>0</v>
      </c>
      <c r="D65" s="89"/>
      <c r="E65" s="89">
        <v>0</v>
      </c>
      <c r="F65" s="89">
        <v>0</v>
      </c>
      <c r="G65" s="89">
        <v>0</v>
      </c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x14ac:dyDescent="0.35">
      <c r="A69" s="66" t="s">
        <v>3485</v>
      </c>
      <c r="B69" s="89">
        <v>51000</v>
      </c>
      <c r="C69" s="89">
        <v>51000</v>
      </c>
      <c r="D69" s="235">
        <v>51000</v>
      </c>
      <c r="E69" s="235">
        <v>59000</v>
      </c>
      <c r="F69" s="235">
        <v>65000</v>
      </c>
      <c r="G69" s="235">
        <v>68000</v>
      </c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>
        <v>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>
        <v>0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>
        <v>0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>
        <v>0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>
        <v>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>
        <v>0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>
        <v>0</v>
      </c>
      <c r="C79" s="89">
        <v>0</v>
      </c>
      <c r="D79" s="89">
        <v>0</v>
      </c>
      <c r="E79" s="89">
        <v>0</v>
      </c>
      <c r="F79" s="89">
        <v>0</v>
      </c>
      <c r="G79" s="89">
        <v>0</v>
      </c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>
        <v>0</v>
      </c>
      <c r="C80" s="89">
        <v>0</v>
      </c>
      <c r="D80" s="89">
        <v>0</v>
      </c>
      <c r="E80" s="89">
        <v>0</v>
      </c>
      <c r="F80" s="89">
        <v>0</v>
      </c>
      <c r="G80" s="89">
        <v>0</v>
      </c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>
        <v>0</v>
      </c>
      <c r="C81" s="89">
        <v>0</v>
      </c>
      <c r="D81" s="89">
        <v>0</v>
      </c>
      <c r="E81" s="89">
        <v>0</v>
      </c>
      <c r="F81" s="89">
        <v>0</v>
      </c>
      <c r="G81" s="89">
        <v>0</v>
      </c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>
        <v>0</v>
      </c>
      <c r="C82" s="89">
        <v>0</v>
      </c>
      <c r="D82" s="89">
        <v>0</v>
      </c>
      <c r="E82" s="89">
        <v>0</v>
      </c>
      <c r="F82" s="89">
        <v>0</v>
      </c>
      <c r="G82" s="89">
        <v>0</v>
      </c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>
        <v>0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>
        <v>0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>
        <v>0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>
        <v>0</v>
      </c>
      <c r="C93" s="89">
        <v>0</v>
      </c>
      <c r="D93" s="89">
        <v>0</v>
      </c>
      <c r="E93" s="89">
        <v>0</v>
      </c>
      <c r="F93" s="89">
        <v>0</v>
      </c>
      <c r="G93" s="89">
        <v>0</v>
      </c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>
        <v>0</v>
      </c>
      <c r="D95" s="89">
        <v>0</v>
      </c>
      <c r="E95" s="89">
        <v>0</v>
      </c>
      <c r="F95" s="89">
        <v>0</v>
      </c>
      <c r="G95" s="89">
        <v>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>
        <v>0</v>
      </c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-1453700</v>
      </c>
      <c r="C121" s="112">
        <f t="shared" si="0"/>
        <v>-1367700</v>
      </c>
      <c r="D121" s="112">
        <f t="shared" si="0"/>
        <v>-1448600</v>
      </c>
      <c r="E121" s="112">
        <f t="shared" si="0"/>
        <v>-1612100</v>
      </c>
      <c r="F121" s="112">
        <f t="shared" si="0"/>
        <v>-1683200</v>
      </c>
      <c r="G121" s="112">
        <f t="shared" si="0"/>
        <v>-1761300</v>
      </c>
      <c r="H121" s="66"/>
      <c r="I121" s="66"/>
    </row>
    <row r="122" spans="1:9" ht="15" thickTop="1" x14ac:dyDescent="0.35">
      <c r="H122" s="66"/>
      <c r="I122" s="66"/>
    </row>
    <row r="123" spans="1:9" x14ac:dyDescent="0.35">
      <c r="A123" s="126" t="s">
        <v>2685</v>
      </c>
      <c r="H123" s="66"/>
      <c r="I123" s="66"/>
    </row>
    <row r="124" spans="1:9" x14ac:dyDescent="0.35">
      <c r="A124" s="126"/>
      <c r="H124" s="66"/>
      <c r="I124" s="66"/>
    </row>
    <row r="125" spans="1:9" hidden="1" x14ac:dyDescent="0.35">
      <c r="A125" s="66" t="s">
        <v>3438</v>
      </c>
      <c r="B125" s="89">
        <v>0</v>
      </c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>
        <v>0</v>
      </c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>
        <v>0</v>
      </c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>
        <v>0</v>
      </c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>
        <v>0</v>
      </c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>
        <v>0</v>
      </c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>
        <v>0</v>
      </c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>
        <v>0</v>
      </c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10600</v>
      </c>
      <c r="C135" s="89">
        <v>10600</v>
      </c>
      <c r="D135" s="235">
        <v>13398.14</v>
      </c>
      <c r="E135" s="235">
        <v>12200</v>
      </c>
      <c r="F135" s="235">
        <v>12700</v>
      </c>
      <c r="G135" s="235">
        <v>13800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89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89"/>
      <c r="F173" s="89"/>
      <c r="G173" s="89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11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11" hidden="1" x14ac:dyDescent="0.35">
      <c r="A178" s="66" t="s">
        <v>2880</v>
      </c>
      <c r="B178" s="89"/>
      <c r="C178" s="89"/>
      <c r="D178" s="89"/>
      <c r="E178" s="89"/>
      <c r="F178" s="89"/>
      <c r="G178" s="89"/>
      <c r="H178" s="66" t="str">
        <f>VLOOKUP(A178,'Tot KPA'!A:H,8,0)</f>
        <v>Transfers</v>
      </c>
      <c r="I178" s="66">
        <f>VLOOKUP(A178,'Tot KPA'!A:I,9,0)</f>
        <v>0</v>
      </c>
    </row>
    <row r="179" spans="1:11" hidden="1" x14ac:dyDescent="0.35">
      <c r="A179" s="66" t="s">
        <v>2883</v>
      </c>
      <c r="B179" s="89"/>
      <c r="C179" s="89"/>
      <c r="D179" s="89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11" hidden="1" x14ac:dyDescent="0.35">
      <c r="A180" s="66" t="s">
        <v>2878</v>
      </c>
      <c r="B180" s="89"/>
      <c r="C180" s="89"/>
      <c r="D180" s="89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11" hidden="1" x14ac:dyDescent="0.35">
      <c r="A181" s="66" t="s">
        <v>3014</v>
      </c>
      <c r="B181" s="89"/>
      <c r="C181" s="89"/>
      <c r="D181" s="89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11" hidden="1" x14ac:dyDescent="0.35">
      <c r="A182" s="66" t="s">
        <v>2961</v>
      </c>
      <c r="B182" s="89"/>
      <c r="C182" s="89"/>
      <c r="D182" s="89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11" x14ac:dyDescent="0.35">
      <c r="A183" s="66" t="s">
        <v>2901</v>
      </c>
      <c r="B183" s="89">
        <v>400</v>
      </c>
      <c r="C183" s="89">
        <v>400</v>
      </c>
      <c r="D183" s="235">
        <v>475</v>
      </c>
      <c r="E183" s="235">
        <v>500</v>
      </c>
      <c r="F183" s="235">
        <v>600</v>
      </c>
      <c r="G183" s="235">
        <v>600</v>
      </c>
      <c r="H183" s="66" t="str">
        <f>VLOOKUP(A183,'Tot KPA'!A:H,8,0)</f>
        <v>Employee related cost</v>
      </c>
      <c r="I183" s="66" t="str">
        <f>VLOOKUP(A183,'Tot KPA'!A:I,9,0)</f>
        <v>Social</v>
      </c>
      <c r="K183" s="111"/>
    </row>
    <row r="184" spans="1:11" x14ac:dyDescent="0.35">
      <c r="A184" s="66" t="s">
        <v>2902</v>
      </c>
      <c r="B184" s="89">
        <v>65400</v>
      </c>
      <c r="C184" s="89">
        <v>65400</v>
      </c>
      <c r="D184" s="235">
        <v>60013.91</v>
      </c>
      <c r="E184" s="235">
        <v>64200</v>
      </c>
      <c r="F184" s="235">
        <v>68400</v>
      </c>
      <c r="G184" s="235">
        <v>72900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11" x14ac:dyDescent="0.35">
      <c r="A185" s="66" t="s">
        <v>2903</v>
      </c>
      <c r="B185" s="89"/>
      <c r="C185" s="89"/>
      <c r="D185" s="89"/>
      <c r="E185" s="89"/>
      <c r="F185" s="89"/>
      <c r="G185" s="89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11" x14ac:dyDescent="0.35">
      <c r="A186" s="66" t="s">
        <v>2900</v>
      </c>
      <c r="B186" s="89">
        <v>11000</v>
      </c>
      <c r="C186" s="89">
        <v>11000</v>
      </c>
      <c r="D186" s="235">
        <v>10794.69</v>
      </c>
      <c r="E186" s="235">
        <v>11600</v>
      </c>
      <c r="F186" s="235">
        <v>12400</v>
      </c>
      <c r="G186" s="235">
        <v>13300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11" x14ac:dyDescent="0.35">
      <c r="A187" s="66" t="s">
        <v>3398</v>
      </c>
      <c r="B187" s="89"/>
      <c r="C187" s="89"/>
      <c r="D187" s="89"/>
      <c r="E187" s="89"/>
      <c r="F187" s="89"/>
      <c r="G187" s="89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11" x14ac:dyDescent="0.35">
      <c r="A188" s="66" t="s">
        <v>3399</v>
      </c>
      <c r="B188" s="89"/>
      <c r="C188" s="89"/>
      <c r="D188" s="89"/>
      <c r="E188" s="89"/>
      <c r="F188" s="89"/>
      <c r="G188" s="89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11" x14ac:dyDescent="0.35">
      <c r="A189" s="66" t="s">
        <v>2984</v>
      </c>
      <c r="B189" s="89">
        <v>41800</v>
      </c>
      <c r="C189" s="89">
        <v>41800</v>
      </c>
      <c r="D189" s="235">
        <v>39032.54</v>
      </c>
      <c r="E189" s="235">
        <v>41900</v>
      </c>
      <c r="F189" s="235">
        <v>44700</v>
      </c>
      <c r="G189" s="235">
        <v>47600</v>
      </c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11" x14ac:dyDescent="0.35">
      <c r="A190" s="66" t="s">
        <v>2904</v>
      </c>
      <c r="B190" s="89"/>
      <c r="C190" s="89"/>
      <c r="D190" s="89"/>
      <c r="E190" s="89"/>
      <c r="F190" s="89"/>
      <c r="G190" s="89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11" x14ac:dyDescent="0.35">
      <c r="A191" s="66" t="s">
        <v>2905</v>
      </c>
      <c r="B191" s="89">
        <v>44400</v>
      </c>
      <c r="C191" s="89">
        <v>44400</v>
      </c>
      <c r="D191" s="235">
        <v>38175.980000000003</v>
      </c>
      <c r="E191" s="235">
        <v>41700</v>
      </c>
      <c r="F191" s="235">
        <v>44500</v>
      </c>
      <c r="G191" s="235">
        <v>47400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11" x14ac:dyDescent="0.35">
      <c r="A192" s="66" t="s">
        <v>3039</v>
      </c>
      <c r="B192" s="89"/>
      <c r="C192" s="89"/>
      <c r="D192" s="89"/>
      <c r="E192" s="89"/>
      <c r="F192" s="89"/>
      <c r="G192" s="89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927500</v>
      </c>
      <c r="C193" s="89">
        <v>927500</v>
      </c>
      <c r="D193" s="235">
        <v>720163.18</v>
      </c>
      <c r="E193" s="235">
        <v>770500</v>
      </c>
      <c r="F193" s="235">
        <v>820600</v>
      </c>
      <c r="G193" s="235">
        <v>874000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89"/>
      <c r="F194" s="89"/>
      <c r="G194" s="89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/>
      <c r="C195" s="89"/>
      <c r="D195" s="89"/>
      <c r="E195" s="89"/>
      <c r="F195" s="89"/>
      <c r="G195" s="89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89"/>
      <c r="C196" s="89"/>
      <c r="D196" s="89"/>
      <c r="E196" s="89"/>
      <c r="F196" s="89"/>
      <c r="G196" s="89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/>
      <c r="C197" s="89"/>
      <c r="D197" s="89"/>
      <c r="E197" s="89"/>
      <c r="F197" s="89"/>
      <c r="G197" s="89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5800</v>
      </c>
      <c r="C198" s="89">
        <v>5800</v>
      </c>
      <c r="D198" s="235">
        <v>5427</v>
      </c>
      <c r="E198" s="235">
        <v>5700</v>
      </c>
      <c r="F198" s="235">
        <v>6100</v>
      </c>
      <c r="G198" s="235">
        <v>6500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89"/>
      <c r="F201" s="89"/>
      <c r="G201" s="89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>
        <v>0</v>
      </c>
      <c r="C211" s="89">
        <v>0</v>
      </c>
      <c r="D211" s="235">
        <f>5218.96*12</f>
        <v>62627.520000000004</v>
      </c>
      <c r="E211" s="235">
        <v>67000</v>
      </c>
      <c r="F211" s="235">
        <v>70100</v>
      </c>
      <c r="G211" s="235">
        <v>73400</v>
      </c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89"/>
      <c r="F212" s="89"/>
      <c r="G212" s="89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89"/>
      <c r="F213" s="89"/>
      <c r="G213" s="89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89"/>
      <c r="F214" s="89"/>
      <c r="G214" s="89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>
        <f>30600-8700</f>
        <v>21900</v>
      </c>
      <c r="C216" s="89">
        <f>30600-8700</f>
        <v>21900</v>
      </c>
      <c r="D216" s="235">
        <v>21900</v>
      </c>
      <c r="E216" s="235">
        <v>29000</v>
      </c>
      <c r="F216" s="235">
        <v>32000</v>
      </c>
      <c r="G216" s="235">
        <v>33500</v>
      </c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>
        <f>28200+7000-3000</f>
        <v>32200</v>
      </c>
      <c r="C219" s="89">
        <f>28200+7000-3000</f>
        <v>32200</v>
      </c>
      <c r="D219" s="235">
        <v>91456.37</v>
      </c>
      <c r="E219" s="235">
        <v>42000</v>
      </c>
      <c r="F219" s="235">
        <v>42000</v>
      </c>
      <c r="G219" s="235">
        <v>46000</v>
      </c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>
        <v>86500</v>
      </c>
      <c r="C220" s="89">
        <v>86500</v>
      </c>
      <c r="D220" s="235">
        <v>82459.66</v>
      </c>
      <c r="E220" s="235">
        <v>98500</v>
      </c>
      <c r="F220" s="235">
        <v>98500</v>
      </c>
      <c r="G220" s="235">
        <v>108000</v>
      </c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>
        <v>4000</v>
      </c>
      <c r="C221" s="89">
        <v>4000</v>
      </c>
      <c r="D221" s="235">
        <v>0</v>
      </c>
      <c r="E221" s="235">
        <v>4000</v>
      </c>
      <c r="F221" s="235">
        <v>4000</v>
      </c>
      <c r="G221" s="235">
        <v>4000</v>
      </c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>
        <v>10600</v>
      </c>
      <c r="C225" s="89">
        <v>10600</v>
      </c>
      <c r="D225" s="235">
        <v>9175.23</v>
      </c>
      <c r="E225" s="235">
        <v>15600</v>
      </c>
      <c r="F225" s="235">
        <v>13600</v>
      </c>
      <c r="G225" s="235">
        <v>17000</v>
      </c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235"/>
      <c r="E226" s="235"/>
      <c r="F226" s="235"/>
      <c r="G226" s="235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>
        <v>8000</v>
      </c>
      <c r="C227" s="89">
        <v>8000</v>
      </c>
      <c r="D227" s="235">
        <v>12543.92</v>
      </c>
      <c r="E227" s="235">
        <v>18000</v>
      </c>
      <c r="F227" s="235">
        <v>16000</v>
      </c>
      <c r="G227" s="235">
        <v>19800</v>
      </c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>
        <v>12800</v>
      </c>
      <c r="C228" s="89">
        <v>12800</v>
      </c>
      <c r="D228" s="235">
        <v>51294.3</v>
      </c>
      <c r="E228" s="235">
        <v>19000</v>
      </c>
      <c r="F228" s="235">
        <v>19900</v>
      </c>
      <c r="G228" s="235">
        <v>20800</v>
      </c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>
        <v>12800</v>
      </c>
      <c r="C232" s="89">
        <v>12800</v>
      </c>
      <c r="D232" s="235">
        <v>146812.79</v>
      </c>
      <c r="E232" s="235">
        <v>17900</v>
      </c>
      <c r="F232" s="235">
        <v>18700</v>
      </c>
      <c r="G232" s="235">
        <v>19600</v>
      </c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>
        <v>3000</v>
      </c>
      <c r="C250" s="89">
        <v>3000</v>
      </c>
      <c r="D250" s="235">
        <v>5101.54</v>
      </c>
      <c r="E250" s="235">
        <v>6000</v>
      </c>
      <c r="F250" s="235">
        <v>6300</v>
      </c>
      <c r="G250" s="235">
        <v>6600</v>
      </c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>
        <v>25500</v>
      </c>
      <c r="C258" s="89">
        <v>25500</v>
      </c>
      <c r="D258" s="235">
        <v>24189.11</v>
      </c>
      <c r="E258" s="235">
        <v>31500</v>
      </c>
      <c r="F258" s="235">
        <v>33000</v>
      </c>
      <c r="G258" s="235">
        <v>34500</v>
      </c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235"/>
      <c r="F259" s="235"/>
      <c r="G259" s="235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235"/>
      <c r="F260" s="235"/>
      <c r="G260" s="235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235"/>
      <c r="F261" s="235"/>
      <c r="G261" s="235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235"/>
      <c r="F262" s="235"/>
      <c r="G262" s="235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235"/>
      <c r="F263" s="235"/>
      <c r="G263" s="235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>
        <v>27600</v>
      </c>
      <c r="C264" s="89">
        <v>27600</v>
      </c>
      <c r="D264" s="235">
        <v>27600</v>
      </c>
      <c r="E264" s="235">
        <v>27600</v>
      </c>
      <c r="F264" s="235">
        <v>27600</v>
      </c>
      <c r="G264" s="235">
        <v>27600</v>
      </c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>
        <v>14800</v>
      </c>
      <c r="C271" s="89">
        <v>14800</v>
      </c>
      <c r="D271" s="235">
        <v>14800</v>
      </c>
      <c r="E271" s="235">
        <v>18000</v>
      </c>
      <c r="F271" s="235">
        <v>18900</v>
      </c>
      <c r="G271" s="235">
        <v>19800</v>
      </c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v>7900</v>
      </c>
      <c r="C272" s="89">
        <v>7900</v>
      </c>
      <c r="D272" s="235">
        <v>7102</v>
      </c>
      <c r="E272" s="235">
        <v>7800</v>
      </c>
      <c r="F272" s="235">
        <v>8400</v>
      </c>
      <c r="G272" s="235">
        <v>9000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235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25500</v>
      </c>
      <c r="C274" s="89">
        <v>25500</v>
      </c>
      <c r="D274" s="235">
        <v>28915.08</v>
      </c>
      <c r="E274" s="235">
        <v>33000</v>
      </c>
      <c r="F274" s="235">
        <v>34500</v>
      </c>
      <c r="G274" s="235">
        <v>36100</v>
      </c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>
        <v>0</v>
      </c>
      <c r="C275" s="89">
        <v>0</v>
      </c>
      <c r="D275" s="89"/>
      <c r="E275" s="89">
        <v>0</v>
      </c>
      <c r="F275" s="89">
        <v>0</v>
      </c>
      <c r="G275" s="89">
        <v>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14400</v>
      </c>
      <c r="C277" s="89">
        <v>14400</v>
      </c>
      <c r="D277" s="235">
        <v>14400</v>
      </c>
      <c r="E277" s="235">
        <v>18000</v>
      </c>
      <c r="F277" s="235">
        <v>18900</v>
      </c>
      <c r="G277" s="235">
        <v>19800</v>
      </c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>
        <v>0</v>
      </c>
      <c r="D278" s="89"/>
      <c r="E278" s="235">
        <v>0</v>
      </c>
      <c r="F278" s="235">
        <v>0</v>
      </c>
      <c r="G278" s="235">
        <v>0</v>
      </c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>
        <v>0</v>
      </c>
      <c r="D279" s="89"/>
      <c r="E279" s="235">
        <v>0</v>
      </c>
      <c r="F279" s="235">
        <v>0</v>
      </c>
      <c r="G279" s="235">
        <v>0</v>
      </c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>
        <f>21400+10100</f>
        <v>31500</v>
      </c>
      <c r="C280" s="89">
        <f>21400+10100</f>
        <v>31500</v>
      </c>
      <c r="D280" s="235">
        <v>36905.870000000003</v>
      </c>
      <c r="E280" s="235">
        <v>55500</v>
      </c>
      <c r="F280" s="235">
        <v>58000</v>
      </c>
      <c r="G280" s="235">
        <v>60700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>
        <v>0</v>
      </c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1445900</v>
      </c>
      <c r="C290" s="112">
        <f t="shared" si="1"/>
        <v>1445900</v>
      </c>
      <c r="D290" s="112">
        <f t="shared" si="1"/>
        <v>1524763.8300000003</v>
      </c>
      <c r="E290" s="112">
        <f t="shared" si="1"/>
        <v>1456700</v>
      </c>
      <c r="F290" s="112">
        <f t="shared" si="1"/>
        <v>1530400</v>
      </c>
      <c r="G290" s="112">
        <f t="shared" si="1"/>
        <v>1632300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-7800</v>
      </c>
      <c r="C292" s="112">
        <f t="shared" si="2"/>
        <v>78200</v>
      </c>
      <c r="D292" s="112">
        <f t="shared" si="2"/>
        <v>76163.830000000307</v>
      </c>
      <c r="E292" s="112">
        <f t="shared" si="2"/>
        <v>-155400</v>
      </c>
      <c r="F292" s="112">
        <f t="shared" si="2"/>
        <v>-152800</v>
      </c>
      <c r="G292" s="112">
        <f t="shared" si="2"/>
        <v>-129000</v>
      </c>
    </row>
    <row r="293" spans="1:7" ht="15" thickTop="1" x14ac:dyDescent="0.35"/>
    <row r="295" spans="1:7" x14ac:dyDescent="0.35">
      <c r="E295" s="111"/>
      <c r="F295" s="111"/>
      <c r="G295" s="111"/>
    </row>
    <row r="296" spans="1:7" x14ac:dyDescent="0.35">
      <c r="E296" s="111"/>
    </row>
  </sheetData>
  <autoFilter ref="G124:H288" xr:uid="{2A3D9751-EDD1-4498-B1F5-1F60947DCD02}">
    <filterColumn colId="1">
      <filters>
        <filter val="Employee related cost"/>
      </filters>
    </filterColumn>
  </autoFilter>
  <sortState xmlns:xlrd2="http://schemas.microsoft.com/office/spreadsheetml/2017/richdata2" ref="A125:I288">
    <sortCondition ref="A125:A288"/>
  </sortState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3"/>
    <pageSetUpPr fitToPage="1"/>
  </sheetPr>
  <dimension ref="A1:I292"/>
  <sheetViews>
    <sheetView topLeftCell="A73" zoomScale="64" zoomScaleNormal="64" workbookViewId="0">
      <selection activeCell="E183" sqref="E183:E198"/>
    </sheetView>
  </sheetViews>
  <sheetFormatPr defaultColWidth="9.1796875" defaultRowHeight="14.5" x14ac:dyDescent="0.35"/>
  <cols>
    <col min="1" max="1" width="61.36328125" style="113" customWidth="1"/>
    <col min="2" max="2" width="22.26953125" style="113" customWidth="1"/>
    <col min="3" max="3" width="18.7265625" style="113" customWidth="1"/>
    <col min="4" max="4" width="19.54296875" style="111" customWidth="1"/>
    <col min="5" max="5" width="20.7265625" style="113" customWidth="1"/>
    <col min="6" max="6" width="20.453125" style="113" customWidth="1"/>
    <col min="7" max="7" width="20.81640625" style="113" customWidth="1"/>
    <col min="8" max="8" width="36.54296875" style="113" customWidth="1"/>
    <col min="9" max="9" width="31.26953125" style="113" customWidth="1"/>
    <col min="10" max="16384" width="9.1796875" style="113"/>
  </cols>
  <sheetData>
    <row r="1" spans="1:9" ht="15" thickBot="1" x14ac:dyDescent="0.4">
      <c r="F1" s="118">
        <v>9</v>
      </c>
      <c r="G1" s="118"/>
    </row>
    <row r="2" spans="1:9" ht="15" thickBot="1" x14ac:dyDescent="0.4">
      <c r="A2" s="120" t="s">
        <v>2807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2871</v>
      </c>
      <c r="B4" s="111"/>
      <c r="C4" s="111"/>
      <c r="E4" s="111"/>
      <c r="F4" s="116"/>
      <c r="G4" s="116"/>
    </row>
    <row r="5" spans="1:9" x14ac:dyDescent="0.35">
      <c r="A5" s="126"/>
      <c r="B5" s="111"/>
      <c r="C5" s="111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x14ac:dyDescent="0.35">
      <c r="A7" s="66" t="s">
        <v>2833</v>
      </c>
      <c r="B7" s="89">
        <v>-4500</v>
      </c>
      <c r="C7" s="89">
        <v>-4500</v>
      </c>
      <c r="D7" s="235">
        <v>-12783.19</v>
      </c>
      <c r="E7" s="235">
        <v>-15000</v>
      </c>
      <c r="F7" s="235">
        <v>-15700</v>
      </c>
      <c r="G7" s="235">
        <v>-16500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/>
      <c r="C8" s="89"/>
      <c r="D8" s="89"/>
      <c r="E8" s="234"/>
      <c r="F8" s="234"/>
      <c r="G8" s="234"/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/>
      <c r="C9" s="89"/>
      <c r="D9" s="89"/>
      <c r="E9" s="234"/>
      <c r="F9" s="234"/>
      <c r="G9" s="234"/>
      <c r="H9" s="66" t="str">
        <f>VLOOKUP(A9,'Tot KPA'!A:H,8,0)</f>
        <v>Other revenue</v>
      </c>
      <c r="I9" s="66">
        <f>VLOOKUP(A9,'Tot KPA'!A:I,9,0)</f>
        <v>0</v>
      </c>
    </row>
    <row r="10" spans="1:9" x14ac:dyDescent="0.35">
      <c r="A10" s="66" t="s">
        <v>2894</v>
      </c>
      <c r="B10" s="89">
        <v>-60000</v>
      </c>
      <c r="C10" s="89">
        <f>-60000+60000</f>
        <v>0</v>
      </c>
      <c r="D10" s="235">
        <v>-58500</v>
      </c>
      <c r="E10" s="235">
        <v>-60000</v>
      </c>
      <c r="F10" s="235">
        <f>+E10*1.055</f>
        <v>-63299.999999999993</v>
      </c>
      <c r="G10" s="235">
        <v>-66700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x14ac:dyDescent="0.35">
      <c r="A11" s="66" t="s">
        <v>2893</v>
      </c>
      <c r="B11" s="89">
        <v>-180000</v>
      </c>
      <c r="C11" s="89">
        <f>-180000+90000+90000</f>
        <v>0</v>
      </c>
      <c r="D11" s="235">
        <v>-175000</v>
      </c>
      <c r="E11" s="235">
        <v>-180000</v>
      </c>
      <c r="F11" s="235">
        <v>-50000</v>
      </c>
      <c r="G11" s="235">
        <v>-50000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/>
      <c r="C12" s="89"/>
      <c r="D12" s="235"/>
      <c r="E12" s="234"/>
      <c r="F12" s="234"/>
      <c r="G12" s="234"/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/>
      <c r="C13" s="89"/>
      <c r="D13" s="235"/>
      <c r="E13" s="234"/>
      <c r="F13" s="234"/>
      <c r="G13" s="234"/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/>
      <c r="C14" s="89"/>
      <c r="D14" s="235"/>
      <c r="E14" s="234"/>
      <c r="F14" s="234"/>
      <c r="G14" s="234"/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/>
      <c r="C15" s="89"/>
      <c r="D15" s="235"/>
      <c r="E15" s="234"/>
      <c r="F15" s="234"/>
      <c r="G15" s="234"/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/>
      <c r="C16" s="89"/>
      <c r="D16" s="235"/>
      <c r="E16" s="234"/>
      <c r="F16" s="234"/>
      <c r="G16" s="234"/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5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/>
      <c r="C18" s="89"/>
      <c r="D18" s="235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5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5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5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5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/>
      <c r="C23" s="89"/>
      <c r="D23" s="235"/>
      <c r="E23" s="234"/>
      <c r="F23" s="234"/>
      <c r="G23" s="234"/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/>
      <c r="C24" s="89"/>
      <c r="D24" s="235"/>
      <c r="E24" s="234"/>
      <c r="F24" s="234"/>
      <c r="G24" s="234"/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/>
      <c r="C25" s="89"/>
      <c r="D25" s="235"/>
      <c r="E25" s="234"/>
      <c r="F25" s="234"/>
      <c r="G25" s="234"/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235"/>
      <c r="E26" s="234"/>
      <c r="F26" s="234"/>
      <c r="G26" s="234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235"/>
      <c r="E27" s="234"/>
      <c r="F27" s="234"/>
      <c r="G27" s="234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235"/>
      <c r="E28" s="234"/>
      <c r="F28" s="234"/>
      <c r="G28" s="234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235"/>
      <c r="E29" s="234"/>
      <c r="F29" s="234"/>
      <c r="G29" s="234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235"/>
      <c r="E30" s="234"/>
      <c r="F30" s="234"/>
      <c r="G30" s="234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235"/>
      <c r="E31" s="234"/>
      <c r="F31" s="234"/>
      <c r="G31" s="234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235"/>
      <c r="E32" s="234"/>
      <c r="F32" s="234"/>
      <c r="G32" s="234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235"/>
      <c r="E33" s="234"/>
      <c r="F33" s="234"/>
      <c r="G33" s="234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235"/>
      <c r="E34" s="234"/>
      <c r="F34" s="234"/>
      <c r="G34" s="234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235"/>
      <c r="E35" s="234"/>
      <c r="F35" s="234"/>
      <c r="G35" s="234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235"/>
      <c r="E36" s="234"/>
      <c r="F36" s="234"/>
      <c r="G36" s="234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235"/>
      <c r="E37" s="234"/>
      <c r="F37" s="234"/>
      <c r="G37" s="234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235"/>
      <c r="E38" s="234"/>
      <c r="F38" s="234"/>
      <c r="G38" s="234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235"/>
      <c r="E39" s="234"/>
      <c r="F39" s="234"/>
      <c r="G39" s="234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235"/>
      <c r="E40" s="234"/>
      <c r="F40" s="234"/>
      <c r="G40" s="234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235"/>
      <c r="E41" s="234"/>
      <c r="F41" s="234"/>
      <c r="G41" s="234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235"/>
      <c r="E42" s="234"/>
      <c r="F42" s="234"/>
      <c r="G42" s="234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235"/>
      <c r="E43" s="234"/>
      <c r="F43" s="234"/>
      <c r="G43" s="234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235"/>
      <c r="E44" s="234"/>
      <c r="F44" s="234"/>
      <c r="G44" s="234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235"/>
      <c r="E45" s="234"/>
      <c r="F45" s="234"/>
      <c r="G45" s="234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235"/>
      <c r="E46" s="234"/>
      <c r="F46" s="234"/>
      <c r="G46" s="234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235"/>
      <c r="E47" s="234"/>
      <c r="F47" s="234"/>
      <c r="G47" s="234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235"/>
      <c r="E48" s="234"/>
      <c r="F48" s="234"/>
      <c r="G48" s="234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235"/>
      <c r="E49" s="234"/>
      <c r="F49" s="234"/>
      <c r="G49" s="234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235"/>
      <c r="E50" s="234"/>
      <c r="F50" s="234"/>
      <c r="G50" s="234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235"/>
      <c r="E51" s="234"/>
      <c r="F51" s="234"/>
      <c r="G51" s="234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235"/>
      <c r="E52" s="234"/>
      <c r="F52" s="234"/>
      <c r="G52" s="234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235"/>
      <c r="E53" s="234"/>
      <c r="F53" s="234"/>
      <c r="G53" s="234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235"/>
      <c r="E54" s="234"/>
      <c r="F54" s="234"/>
      <c r="G54" s="234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235"/>
      <c r="E55" s="234"/>
      <c r="F55" s="234"/>
      <c r="G55" s="234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235"/>
      <c r="E56" s="234"/>
      <c r="F56" s="234"/>
      <c r="G56" s="234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x14ac:dyDescent="0.35">
      <c r="A57" s="66" t="s">
        <v>2976</v>
      </c>
      <c r="B57" s="89">
        <v>-59000</v>
      </c>
      <c r="C57" s="89">
        <v>-59000</v>
      </c>
      <c r="D57" s="235">
        <f>-4400*6</f>
        <v>-26400</v>
      </c>
      <c r="E57" s="235">
        <v>-31000</v>
      </c>
      <c r="F57" s="235">
        <v>-32400</v>
      </c>
      <c r="G57" s="235">
        <v>-33900</v>
      </c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235"/>
      <c r="E58" s="234"/>
      <c r="F58" s="234"/>
      <c r="G58" s="234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235"/>
      <c r="E59" s="234"/>
      <c r="F59" s="234"/>
      <c r="G59" s="234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235"/>
      <c r="E60" s="234"/>
      <c r="F60" s="234"/>
      <c r="G60" s="234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235"/>
      <c r="E61" s="234"/>
      <c r="F61" s="234"/>
      <c r="G61" s="234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>
        <v>0</v>
      </c>
      <c r="C62" s="89">
        <v>0</v>
      </c>
      <c r="D62" s="235"/>
      <c r="E62" s="234">
        <v>0</v>
      </c>
      <c r="F62" s="234">
        <v>0</v>
      </c>
      <c r="G62" s="234">
        <v>0</v>
      </c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235"/>
      <c r="E63" s="234"/>
      <c r="F63" s="234"/>
      <c r="G63" s="234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235"/>
      <c r="E64" s="234"/>
      <c r="F64" s="234"/>
      <c r="G64" s="234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235"/>
      <c r="E65" s="234"/>
      <c r="F65" s="234"/>
      <c r="G65" s="234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235"/>
      <c r="E66" s="234"/>
      <c r="F66" s="234"/>
      <c r="G66" s="234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235"/>
      <c r="E67" s="234"/>
      <c r="F67" s="234"/>
      <c r="G67" s="234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235"/>
      <c r="E68" s="234"/>
      <c r="F68" s="234"/>
      <c r="G68" s="234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235"/>
      <c r="E69" s="234"/>
      <c r="F69" s="234"/>
      <c r="G69" s="234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235"/>
      <c r="E70" s="234"/>
      <c r="F70" s="234"/>
      <c r="G70" s="234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235"/>
      <c r="E71" s="234"/>
      <c r="F71" s="234"/>
      <c r="G71" s="234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235"/>
      <c r="E72" s="234"/>
      <c r="F72" s="234"/>
      <c r="G72" s="234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x14ac:dyDescent="0.35">
      <c r="A73" s="66" t="s">
        <v>2971</v>
      </c>
      <c r="B73" s="89">
        <v>-1000</v>
      </c>
      <c r="C73" s="89">
        <v>-1000</v>
      </c>
      <c r="D73" s="235">
        <v>-100</v>
      </c>
      <c r="E73" s="235">
        <v>0</v>
      </c>
      <c r="F73" s="235">
        <v>0</v>
      </c>
      <c r="G73" s="235">
        <v>0</v>
      </c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235"/>
      <c r="E74" s="234"/>
      <c r="F74" s="234"/>
      <c r="G74" s="234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235"/>
      <c r="E75" s="234"/>
      <c r="F75" s="234"/>
      <c r="G75" s="234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235"/>
      <c r="E76" s="234"/>
      <c r="F76" s="234"/>
      <c r="G76" s="234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235"/>
      <c r="E77" s="234"/>
      <c r="F77" s="234"/>
      <c r="G77" s="234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235"/>
      <c r="E78" s="234"/>
      <c r="F78" s="234"/>
      <c r="G78" s="234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235"/>
      <c r="E79" s="234"/>
      <c r="F79" s="234"/>
      <c r="G79" s="234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235"/>
      <c r="E80" s="234"/>
      <c r="F80" s="234"/>
      <c r="G80" s="234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/>
      <c r="C81" s="89"/>
      <c r="D81" s="235"/>
      <c r="E81" s="234"/>
      <c r="F81" s="234"/>
      <c r="G81" s="234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/>
      <c r="C82" s="89"/>
      <c r="D82" s="235"/>
      <c r="E82" s="234"/>
      <c r="F82" s="234"/>
      <c r="G82" s="234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235"/>
      <c r="E83" s="234"/>
      <c r="F83" s="234"/>
      <c r="G83" s="234"/>
      <c r="H83" s="66"/>
      <c r="I83" s="66"/>
    </row>
    <row r="84" spans="1:9" hidden="1" x14ac:dyDescent="0.35">
      <c r="A84" s="66" t="s">
        <v>3069</v>
      </c>
      <c r="B84" s="89"/>
      <c r="C84" s="89"/>
      <c r="D84" s="235"/>
      <c r="E84" s="234"/>
      <c r="F84" s="234"/>
      <c r="G84" s="234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/>
      <c r="C85" s="89"/>
      <c r="D85" s="235"/>
      <c r="E85" s="234"/>
      <c r="F85" s="234"/>
      <c r="G85" s="234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/>
      <c r="C86" s="89"/>
      <c r="D86" s="235"/>
      <c r="E86" s="234"/>
      <c r="F86" s="234"/>
      <c r="G86" s="234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/>
      <c r="C87" s="89"/>
      <c r="D87" s="235"/>
      <c r="E87" s="234"/>
      <c r="F87" s="234"/>
      <c r="G87" s="234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235"/>
      <c r="E88" s="234"/>
      <c r="F88" s="234"/>
      <c r="G88" s="234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/>
      <c r="C89" s="89"/>
      <c r="D89" s="235"/>
      <c r="E89" s="234"/>
      <c r="F89" s="234"/>
      <c r="G89" s="234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x14ac:dyDescent="0.35">
      <c r="A90" s="66" t="s">
        <v>2873</v>
      </c>
      <c r="B90" s="89">
        <v>-258600</v>
      </c>
      <c r="C90" s="89">
        <f>-258600+158000+82000</f>
        <v>-18600</v>
      </c>
      <c r="D90" s="235">
        <v>-254900</v>
      </c>
      <c r="E90" s="235">
        <v>-300000</v>
      </c>
      <c r="F90" s="235">
        <f>+E90*1.03</f>
        <v>-309000</v>
      </c>
      <c r="G90" s="235">
        <v>-318300</v>
      </c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/>
      <c r="C91" s="89"/>
      <c r="D91" s="235"/>
      <c r="E91" s="234"/>
      <c r="F91" s="234"/>
      <c r="G91" s="234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/>
      <c r="C92" s="89"/>
      <c r="D92" s="235"/>
      <c r="E92" s="234"/>
      <c r="F92" s="234"/>
      <c r="G92" s="234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/>
      <c r="C93" s="89"/>
      <c r="D93" s="235"/>
      <c r="E93" s="234"/>
      <c r="F93" s="234"/>
      <c r="G93" s="234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>
        <v>0</v>
      </c>
      <c r="D94" s="235"/>
      <c r="E94" s="234">
        <v>0</v>
      </c>
      <c r="F94" s="234">
        <v>0</v>
      </c>
      <c r="G94" s="234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/>
      <c r="C95" s="89"/>
      <c r="D95" s="235"/>
      <c r="E95" s="234"/>
      <c r="F95" s="234"/>
      <c r="G95" s="234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/>
      <c r="C96" s="89"/>
      <c r="D96" s="235"/>
      <c r="E96" s="234"/>
      <c r="F96" s="234"/>
      <c r="G96" s="234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235"/>
      <c r="E97" s="234"/>
      <c r="F97" s="234"/>
      <c r="G97" s="234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235"/>
      <c r="E98" s="234"/>
      <c r="F98" s="234"/>
      <c r="G98" s="234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235"/>
      <c r="E99" s="234"/>
      <c r="F99" s="234"/>
      <c r="G99" s="234"/>
      <c r="H99" s="66" t="str">
        <f>VLOOKUP(A99,'Tot KPA'!A:H,8,0)</f>
        <v>Other revenue/transfers</v>
      </c>
      <c r="I99" s="66">
        <f>VLOOKUP(A99,'Tot KPA'!A:I,9,0)</f>
        <v>0</v>
      </c>
    </row>
    <row r="100" spans="1:9" x14ac:dyDescent="0.35">
      <c r="A100" s="66" t="s">
        <v>2867</v>
      </c>
      <c r="B100" s="89">
        <v>-63000</v>
      </c>
      <c r="C100" s="89">
        <f>-63000+50000</f>
        <v>-13000</v>
      </c>
      <c r="D100" s="235">
        <v>-62500</v>
      </c>
      <c r="E100" s="235">
        <f>-66800-4600</f>
        <v>-71400</v>
      </c>
      <c r="F100" s="235">
        <f>-69900-4700</f>
        <v>-74600</v>
      </c>
      <c r="G100" s="235">
        <f>-73200-4800</f>
        <v>-78000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x14ac:dyDescent="0.35">
      <c r="A101" s="66" t="s">
        <v>2868</v>
      </c>
      <c r="B101" s="89">
        <v>-81400</v>
      </c>
      <c r="C101" s="89">
        <v>-81400</v>
      </c>
      <c r="D101" s="235">
        <v>-81000</v>
      </c>
      <c r="E101" s="235">
        <v>-84900</v>
      </c>
      <c r="F101" s="235">
        <v>-93400</v>
      </c>
      <c r="G101" s="235">
        <v>-102800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x14ac:dyDescent="0.35">
      <c r="A102" s="66" t="s">
        <v>2869</v>
      </c>
      <c r="B102" s="89">
        <v>-34000</v>
      </c>
      <c r="C102" s="89">
        <v>-34000</v>
      </c>
      <c r="D102" s="235">
        <v>-30000</v>
      </c>
      <c r="E102" s="235">
        <v>-32100</v>
      </c>
      <c r="F102" s="235">
        <v>-34400</v>
      </c>
      <c r="G102" s="235">
        <v>-36900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x14ac:dyDescent="0.35">
      <c r="A103" s="66" t="s">
        <v>2866</v>
      </c>
      <c r="B103" s="89">
        <v>-39000</v>
      </c>
      <c r="C103" s="89">
        <v>-39000</v>
      </c>
      <c r="D103" s="235">
        <v>-37200</v>
      </c>
      <c r="E103" s="235">
        <v>-40000</v>
      </c>
      <c r="F103" s="235">
        <v>-41900</v>
      </c>
      <c r="G103" s="235">
        <v>-43800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x14ac:dyDescent="0.35">
      <c r="A104" s="66" t="s">
        <v>2870</v>
      </c>
      <c r="B104" s="89">
        <v>-1200</v>
      </c>
      <c r="C104" s="89">
        <v>-1200</v>
      </c>
      <c r="D104" s="235">
        <v>-1200</v>
      </c>
      <c r="E104" s="235">
        <v>-1200</v>
      </c>
      <c r="F104" s="235">
        <v>-1200</v>
      </c>
      <c r="G104" s="235">
        <v>-1200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-781700</v>
      </c>
      <c r="C121" s="112">
        <f t="shared" si="0"/>
        <v>-251700</v>
      </c>
      <c r="D121" s="112">
        <f t="shared" si="0"/>
        <v>-739583.19</v>
      </c>
      <c r="E121" s="112">
        <f t="shared" si="0"/>
        <v>-815600</v>
      </c>
      <c r="F121" s="112">
        <f t="shared" si="0"/>
        <v>-715900</v>
      </c>
      <c r="G121" s="112">
        <f t="shared" si="0"/>
        <v>-748100</v>
      </c>
      <c r="H121" s="66"/>
      <c r="I121" s="66"/>
    </row>
    <row r="122" spans="1:9" ht="15" thickTop="1" x14ac:dyDescent="0.35">
      <c r="H122" s="66"/>
      <c r="I122" s="66"/>
    </row>
    <row r="123" spans="1:9" x14ac:dyDescent="0.35">
      <c r="A123" s="126" t="s">
        <v>2872</v>
      </c>
      <c r="H123" s="66"/>
      <c r="I123" s="66"/>
    </row>
    <row r="124" spans="1:9" x14ac:dyDescent="0.35">
      <c r="A124" s="126"/>
      <c r="H124" s="66"/>
      <c r="I124" s="66"/>
    </row>
    <row r="125" spans="1:9" x14ac:dyDescent="0.35">
      <c r="A125" s="66" t="s">
        <v>3438</v>
      </c>
      <c r="B125" s="89">
        <v>25600</v>
      </c>
      <c r="C125" s="89">
        <v>25600</v>
      </c>
      <c r="D125" s="235">
        <v>19817</v>
      </c>
      <c r="E125" s="235">
        <f>25600-5600</f>
        <v>20000</v>
      </c>
      <c r="F125" s="235">
        <v>21000</v>
      </c>
      <c r="G125" s="235">
        <v>22000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/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/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/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/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/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/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/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/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/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0</v>
      </c>
      <c r="C135" s="89">
        <v>0</v>
      </c>
      <c r="D135" s="89"/>
      <c r="E135" s="89">
        <v>0</v>
      </c>
      <c r="F135" s="89">
        <v>0</v>
      </c>
      <c r="G135" s="89">
        <v>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>
        <v>0</v>
      </c>
      <c r="C136" s="89">
        <v>0</v>
      </c>
      <c r="D136" s="89"/>
      <c r="E136" s="89">
        <v>0</v>
      </c>
      <c r="F136" s="89">
        <v>0</v>
      </c>
      <c r="G136" s="89">
        <v>0</v>
      </c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>
        <v>0</v>
      </c>
      <c r="C137" s="89">
        <v>0</v>
      </c>
      <c r="D137" s="89"/>
      <c r="E137" s="89">
        <v>0</v>
      </c>
      <c r="F137" s="89">
        <v>0</v>
      </c>
      <c r="G137" s="89">
        <v>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0</v>
      </c>
      <c r="C138" s="89">
        <v>0</v>
      </c>
      <c r="D138" s="89"/>
      <c r="E138" s="89">
        <v>0</v>
      </c>
      <c r="F138" s="89">
        <v>0</v>
      </c>
      <c r="G138" s="89">
        <v>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0</v>
      </c>
      <c r="C140" s="89">
        <v>0</v>
      </c>
      <c r="D140" s="89"/>
      <c r="E140" s="89">
        <v>0</v>
      </c>
      <c r="F140" s="89">
        <v>0</v>
      </c>
      <c r="G140" s="89">
        <v>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>
        <v>0</v>
      </c>
      <c r="D141" s="89"/>
      <c r="E141" s="89">
        <v>0</v>
      </c>
      <c r="F141" s="89">
        <v>0</v>
      </c>
      <c r="G141" s="89">
        <v>0</v>
      </c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>
        <v>0</v>
      </c>
      <c r="D142" s="89"/>
      <c r="E142" s="89">
        <v>0</v>
      </c>
      <c r="F142" s="89">
        <v>0</v>
      </c>
      <c r="G142" s="89">
        <v>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89"/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>
        <v>0</v>
      </c>
      <c r="D145" s="89"/>
      <c r="E145" s="89">
        <v>0</v>
      </c>
      <c r="F145" s="89">
        <v>0</v>
      </c>
      <c r="G145" s="89">
        <v>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>
        <v>0</v>
      </c>
      <c r="D146" s="89"/>
      <c r="E146" s="89">
        <v>0</v>
      </c>
      <c r="F146" s="89">
        <v>0</v>
      </c>
      <c r="G146" s="89">
        <v>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>
        <v>0</v>
      </c>
      <c r="D147" s="89"/>
      <c r="E147" s="89">
        <v>0</v>
      </c>
      <c r="F147" s="89">
        <v>0</v>
      </c>
      <c r="G147" s="89">
        <v>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>
        <v>0</v>
      </c>
      <c r="D148" s="89"/>
      <c r="E148" s="89">
        <v>0</v>
      </c>
      <c r="F148" s="89">
        <v>0</v>
      </c>
      <c r="G148" s="89">
        <v>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>
        <v>0</v>
      </c>
      <c r="D149" s="89"/>
      <c r="E149" s="89">
        <v>0</v>
      </c>
      <c r="F149" s="89">
        <v>0</v>
      </c>
      <c r="G149" s="89">
        <v>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>
        <v>0</v>
      </c>
      <c r="D150" s="89"/>
      <c r="E150" s="89">
        <v>0</v>
      </c>
      <c r="F150" s="89">
        <v>0</v>
      </c>
      <c r="G150" s="89">
        <v>0</v>
      </c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>
        <v>0</v>
      </c>
      <c r="D151" s="89"/>
      <c r="E151" s="89">
        <v>0</v>
      </c>
      <c r="F151" s="89">
        <v>0</v>
      </c>
      <c r="G151" s="89">
        <v>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>
        <v>0</v>
      </c>
      <c r="C152" s="89">
        <v>0</v>
      </c>
      <c r="D152" s="89"/>
      <c r="E152" s="89">
        <v>0</v>
      </c>
      <c r="F152" s="89">
        <v>0</v>
      </c>
      <c r="G152" s="89">
        <v>0</v>
      </c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0</v>
      </c>
      <c r="C153" s="89">
        <v>0</v>
      </c>
      <c r="D153" s="89"/>
      <c r="E153" s="89">
        <v>0</v>
      </c>
      <c r="F153" s="89">
        <v>0</v>
      </c>
      <c r="G153" s="89">
        <v>0</v>
      </c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x14ac:dyDescent="0.35">
      <c r="A154" s="66" t="s">
        <v>3487</v>
      </c>
      <c r="B154" s="89">
        <v>190000</v>
      </c>
      <c r="C154" s="89">
        <v>190000</v>
      </c>
      <c r="D154" s="235">
        <v>168914.57</v>
      </c>
      <c r="E154" s="235">
        <f>190000</f>
        <v>190000</v>
      </c>
      <c r="F154" s="235">
        <v>0</v>
      </c>
      <c r="G154" s="235">
        <v>0</v>
      </c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>
        <v>0</v>
      </c>
      <c r="C155" s="89">
        <v>0</v>
      </c>
      <c r="D155" s="89"/>
      <c r="E155" s="234">
        <v>0</v>
      </c>
      <c r="F155" s="234">
        <v>0</v>
      </c>
      <c r="G155" s="234">
        <v>0</v>
      </c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>
        <v>0</v>
      </c>
      <c r="C156" s="89">
        <v>0</v>
      </c>
      <c r="D156" s="89"/>
      <c r="E156" s="234">
        <v>0</v>
      </c>
      <c r="F156" s="234">
        <v>0</v>
      </c>
      <c r="G156" s="234">
        <v>0</v>
      </c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>
        <v>0</v>
      </c>
      <c r="C157" s="89">
        <v>0</v>
      </c>
      <c r="D157" s="89"/>
      <c r="E157" s="234">
        <v>0</v>
      </c>
      <c r="F157" s="234">
        <v>0</v>
      </c>
      <c r="G157" s="234">
        <v>0</v>
      </c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>
        <v>0</v>
      </c>
      <c r="C158" s="89">
        <v>0</v>
      </c>
      <c r="D158" s="89"/>
      <c r="E158" s="234">
        <v>0</v>
      </c>
      <c r="F158" s="234">
        <v>0</v>
      </c>
      <c r="G158" s="234">
        <v>0</v>
      </c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>
        <v>0</v>
      </c>
      <c r="C159" s="89">
        <v>0</v>
      </c>
      <c r="D159" s="89"/>
      <c r="E159" s="234">
        <v>0</v>
      </c>
      <c r="F159" s="234">
        <v>0</v>
      </c>
      <c r="G159" s="234">
        <v>0</v>
      </c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>
        <v>0</v>
      </c>
      <c r="C160" s="89">
        <v>0</v>
      </c>
      <c r="D160" s="89"/>
      <c r="E160" s="234">
        <v>0</v>
      </c>
      <c r="F160" s="234">
        <v>0</v>
      </c>
      <c r="G160" s="234">
        <v>0</v>
      </c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>
        <v>0</v>
      </c>
      <c r="C161" s="89">
        <v>0</v>
      </c>
      <c r="D161" s="89"/>
      <c r="E161" s="234">
        <v>0</v>
      </c>
      <c r="F161" s="234">
        <v>0</v>
      </c>
      <c r="G161" s="234">
        <v>0</v>
      </c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>
        <v>0</v>
      </c>
      <c r="C162" s="89">
        <v>0</v>
      </c>
      <c r="D162" s="89"/>
      <c r="E162" s="234">
        <v>0</v>
      </c>
      <c r="F162" s="234">
        <v>0</v>
      </c>
      <c r="G162" s="234">
        <v>0</v>
      </c>
      <c r="H162" s="66" t="str">
        <f>VLOOKUP(A162,'Tot KPA'!A:H,8,0)</f>
        <v>Debt impairment</v>
      </c>
      <c r="I162" s="66">
        <f>VLOOKUP(A162,'Tot KPA'!A:I,9,0)</f>
        <v>0</v>
      </c>
    </row>
    <row r="163" spans="1:9" x14ac:dyDescent="0.35">
      <c r="A163" s="66" t="s">
        <v>3009</v>
      </c>
      <c r="B163" s="89">
        <v>50000</v>
      </c>
      <c r="C163" s="89">
        <v>50000</v>
      </c>
      <c r="D163" s="235">
        <v>45216.97</v>
      </c>
      <c r="E163" s="235">
        <v>50000</v>
      </c>
      <c r="F163" s="235">
        <v>103300</v>
      </c>
      <c r="G163" s="235">
        <v>106700</v>
      </c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>
        <v>0</v>
      </c>
      <c r="C164" s="89">
        <v>0</v>
      </c>
      <c r="D164" s="89"/>
      <c r="E164" s="234">
        <v>0</v>
      </c>
      <c r="F164" s="234">
        <v>0</v>
      </c>
      <c r="G164" s="234">
        <v>0</v>
      </c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>
        <v>0</v>
      </c>
      <c r="C165" s="89">
        <v>0</v>
      </c>
      <c r="D165" s="89"/>
      <c r="E165" s="234">
        <v>0</v>
      </c>
      <c r="F165" s="234">
        <v>0</v>
      </c>
      <c r="G165" s="234">
        <v>0</v>
      </c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>
        <v>0</v>
      </c>
      <c r="C166" s="89">
        <v>0</v>
      </c>
      <c r="D166" s="89"/>
      <c r="E166" s="234">
        <v>0</v>
      </c>
      <c r="F166" s="234">
        <v>0</v>
      </c>
      <c r="G166" s="234">
        <v>0</v>
      </c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>
        <v>0</v>
      </c>
      <c r="C167" s="89">
        <v>0</v>
      </c>
      <c r="D167" s="89"/>
      <c r="E167" s="234">
        <v>0</v>
      </c>
      <c r="F167" s="234">
        <v>0</v>
      </c>
      <c r="G167" s="234">
        <v>0</v>
      </c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>
        <v>0</v>
      </c>
      <c r="C168" s="89">
        <v>0</v>
      </c>
      <c r="D168" s="89"/>
      <c r="E168" s="234">
        <v>0</v>
      </c>
      <c r="F168" s="234">
        <v>0</v>
      </c>
      <c r="G168" s="234">
        <v>0</v>
      </c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>
        <v>0</v>
      </c>
      <c r="C169" s="89">
        <v>0</v>
      </c>
      <c r="D169" s="89"/>
      <c r="E169" s="234">
        <v>0</v>
      </c>
      <c r="F169" s="234">
        <v>0</v>
      </c>
      <c r="G169" s="234">
        <v>0</v>
      </c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>
        <v>0</v>
      </c>
      <c r="C170" s="89">
        <v>0</v>
      </c>
      <c r="D170" s="89"/>
      <c r="E170" s="234">
        <v>0</v>
      </c>
      <c r="F170" s="234">
        <v>0</v>
      </c>
      <c r="G170" s="234">
        <v>0</v>
      </c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>
        <v>0</v>
      </c>
      <c r="C171" s="89">
        <v>0</v>
      </c>
      <c r="D171" s="89"/>
      <c r="E171" s="234">
        <v>0</v>
      </c>
      <c r="F171" s="234">
        <v>0</v>
      </c>
      <c r="G171" s="234">
        <v>0</v>
      </c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234"/>
      <c r="F172" s="234"/>
      <c r="G172" s="234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>
        <v>0</v>
      </c>
      <c r="C173" s="89">
        <v>0</v>
      </c>
      <c r="D173" s="89"/>
      <c r="E173" s="234">
        <v>0</v>
      </c>
      <c r="F173" s="234">
        <v>0</v>
      </c>
      <c r="G173" s="234">
        <v>0</v>
      </c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234"/>
      <c r="F174" s="234"/>
      <c r="G174" s="234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>
        <v>0</v>
      </c>
      <c r="C175" s="89">
        <v>0</v>
      </c>
      <c r="D175" s="89"/>
      <c r="E175" s="234">
        <v>0</v>
      </c>
      <c r="F175" s="234">
        <v>0</v>
      </c>
      <c r="G175" s="234">
        <v>0</v>
      </c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>
        <v>0</v>
      </c>
      <c r="C176" s="89">
        <v>0</v>
      </c>
      <c r="D176" s="89"/>
      <c r="E176" s="234">
        <v>0</v>
      </c>
      <c r="F176" s="234">
        <v>0</v>
      </c>
      <c r="G176" s="234">
        <v>0</v>
      </c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234"/>
      <c r="F177" s="234"/>
      <c r="G177" s="234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>
        <v>0</v>
      </c>
      <c r="C178" s="89">
        <v>0</v>
      </c>
      <c r="D178" s="89"/>
      <c r="E178" s="234">
        <v>0</v>
      </c>
      <c r="F178" s="234">
        <v>0</v>
      </c>
      <c r="G178" s="234">
        <v>0</v>
      </c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>
        <v>0</v>
      </c>
      <c r="C179" s="89">
        <v>0</v>
      </c>
      <c r="D179" s="89"/>
      <c r="E179" s="234">
        <v>0</v>
      </c>
      <c r="F179" s="234">
        <v>0</v>
      </c>
      <c r="G179" s="234">
        <v>0</v>
      </c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>
        <v>0</v>
      </c>
      <c r="C180" s="89">
        <v>0</v>
      </c>
      <c r="D180" s="89"/>
      <c r="E180" s="234">
        <v>0</v>
      </c>
      <c r="F180" s="234">
        <v>0</v>
      </c>
      <c r="G180" s="234">
        <v>0</v>
      </c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>
        <v>0</v>
      </c>
      <c r="C181" s="89">
        <v>0</v>
      </c>
      <c r="D181" s="89"/>
      <c r="E181" s="234">
        <v>0</v>
      </c>
      <c r="F181" s="234">
        <v>0</v>
      </c>
      <c r="G181" s="234">
        <v>0</v>
      </c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>
        <v>0</v>
      </c>
      <c r="C182" s="89">
        <v>0</v>
      </c>
      <c r="D182" s="89"/>
      <c r="E182" s="234">
        <v>0</v>
      </c>
      <c r="F182" s="234">
        <v>0</v>
      </c>
      <c r="G182" s="234">
        <v>0</v>
      </c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700</v>
      </c>
      <c r="C183" s="89">
        <v>700</v>
      </c>
      <c r="D183" s="235">
        <v>518.6</v>
      </c>
      <c r="E183" s="235">
        <v>600</v>
      </c>
      <c r="F183" s="235">
        <v>700</v>
      </c>
      <c r="G183" s="235">
        <v>700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69300</v>
      </c>
      <c r="C184" s="89">
        <v>69300</v>
      </c>
      <c r="D184" s="235">
        <v>51287.69</v>
      </c>
      <c r="E184" s="235">
        <v>53700</v>
      </c>
      <c r="F184" s="235">
        <v>57200</v>
      </c>
      <c r="G184" s="235">
        <v>61000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hidden="1" x14ac:dyDescent="0.35">
      <c r="A185" s="66" t="s">
        <v>2903</v>
      </c>
      <c r="B185" s="89"/>
      <c r="C185" s="89"/>
      <c r="D185" s="89"/>
      <c r="E185" s="234"/>
      <c r="F185" s="234"/>
      <c r="G185" s="234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4500</v>
      </c>
      <c r="C186" s="89">
        <v>4500</v>
      </c>
      <c r="D186" s="235">
        <v>4517.68</v>
      </c>
      <c r="E186" s="235">
        <v>4900</v>
      </c>
      <c r="F186" s="235">
        <v>5300</v>
      </c>
      <c r="G186" s="235">
        <v>5700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89"/>
      <c r="E190" s="234"/>
      <c r="F190" s="234"/>
      <c r="G190" s="234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131400</v>
      </c>
      <c r="C191" s="89">
        <v>131400</v>
      </c>
      <c r="D191" s="235">
        <v>117413.32</v>
      </c>
      <c r="E191" s="235">
        <v>123400</v>
      </c>
      <c r="F191" s="235">
        <v>131500</v>
      </c>
      <c r="G191" s="235">
        <v>140100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89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831600</v>
      </c>
      <c r="C193" s="89">
        <v>831600</v>
      </c>
      <c r="D193" s="235">
        <v>596817.39</v>
      </c>
      <c r="E193" s="235">
        <v>644000</v>
      </c>
      <c r="F193" s="235">
        <v>685900</v>
      </c>
      <c r="G193" s="235">
        <v>730500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8400</v>
      </c>
      <c r="C198" s="89">
        <v>8400</v>
      </c>
      <c r="D198" s="235">
        <v>5913.67</v>
      </c>
      <c r="E198" s="235">
        <v>6500</v>
      </c>
      <c r="F198" s="235">
        <v>7000</v>
      </c>
      <c r="G198" s="235">
        <v>7600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234"/>
      <c r="F199" s="234"/>
      <c r="G199" s="234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234"/>
      <c r="F200" s="234"/>
      <c r="G200" s="234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234"/>
      <c r="F201" s="234"/>
      <c r="G201" s="234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234"/>
      <c r="F202" s="234"/>
      <c r="G202" s="234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234"/>
      <c r="F203" s="234"/>
      <c r="G203" s="234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234"/>
      <c r="F204" s="234"/>
      <c r="G204" s="234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234"/>
      <c r="F205" s="234"/>
      <c r="G205" s="234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234"/>
      <c r="F206" s="234"/>
      <c r="G206" s="234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234"/>
      <c r="F207" s="234"/>
      <c r="G207" s="234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234"/>
      <c r="F208" s="234"/>
      <c r="G208" s="234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234"/>
      <c r="F209" s="234"/>
      <c r="G209" s="234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234"/>
      <c r="F210" s="234"/>
      <c r="G210" s="234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234"/>
      <c r="F211" s="234"/>
      <c r="G211" s="234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234"/>
      <c r="F212" s="234"/>
      <c r="G212" s="234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234"/>
      <c r="F213" s="234"/>
      <c r="G213" s="234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234"/>
      <c r="F214" s="234"/>
      <c r="G214" s="234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234"/>
      <c r="F215" s="234"/>
      <c r="G215" s="234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234"/>
      <c r="F216" s="234"/>
      <c r="G216" s="234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234"/>
      <c r="F217" s="234"/>
      <c r="G217" s="234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234"/>
      <c r="F218" s="234"/>
      <c r="G218" s="234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234"/>
      <c r="F219" s="234"/>
      <c r="G219" s="234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234"/>
      <c r="F220" s="234"/>
      <c r="G220" s="234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234"/>
      <c r="F221" s="234"/>
      <c r="G221" s="234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234"/>
      <c r="F222" s="234"/>
      <c r="G222" s="234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234"/>
      <c r="F223" s="234"/>
      <c r="G223" s="234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234"/>
      <c r="F224" s="234"/>
      <c r="G224" s="234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234"/>
      <c r="F225" s="234"/>
      <c r="G225" s="234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234"/>
      <c r="F226" s="234"/>
      <c r="G226" s="234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234"/>
      <c r="F227" s="234"/>
      <c r="G227" s="234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4"/>
      <c r="F228" s="234"/>
      <c r="G228" s="234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234"/>
      <c r="F229" s="234"/>
      <c r="G229" s="234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234"/>
      <c r="F230" s="234"/>
      <c r="G230" s="234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>
        <v>0</v>
      </c>
      <c r="C231" s="89">
        <v>0</v>
      </c>
      <c r="D231" s="89"/>
      <c r="E231" s="234">
        <v>0</v>
      </c>
      <c r="F231" s="234">
        <v>0</v>
      </c>
      <c r="G231" s="234">
        <v>0</v>
      </c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x14ac:dyDescent="0.35">
      <c r="A232" s="66" t="s">
        <v>3036</v>
      </c>
      <c r="B232" s="89">
        <v>75000</v>
      </c>
      <c r="C232" s="89">
        <f>75000-50000</f>
        <v>25000</v>
      </c>
      <c r="D232" s="235">
        <v>23918.77</v>
      </c>
      <c r="E232" s="235">
        <v>200000</v>
      </c>
      <c r="F232" s="235">
        <f>+E232*1.046</f>
        <v>209200</v>
      </c>
      <c r="G232" s="235">
        <v>10000</v>
      </c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234"/>
      <c r="F233" s="234"/>
      <c r="G233" s="234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234"/>
      <c r="F234" s="234"/>
      <c r="G234" s="234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234"/>
      <c r="F235" s="234"/>
      <c r="G235" s="234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234"/>
      <c r="F236" s="234"/>
      <c r="G236" s="234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234"/>
      <c r="F237" s="234"/>
      <c r="G237" s="234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234"/>
      <c r="F238" s="234"/>
      <c r="G238" s="234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234"/>
      <c r="F239" s="234"/>
      <c r="G239" s="234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234"/>
      <c r="F240" s="234"/>
      <c r="G240" s="234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234"/>
      <c r="F241" s="234"/>
      <c r="G241" s="234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234"/>
      <c r="F242" s="234"/>
      <c r="G242" s="234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234"/>
      <c r="F243" s="234"/>
      <c r="G243" s="234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234"/>
      <c r="F244" s="234"/>
      <c r="G244" s="234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234"/>
      <c r="F245" s="234"/>
      <c r="G245" s="234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234"/>
      <c r="F246" s="234"/>
      <c r="G246" s="234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234"/>
      <c r="F247" s="234"/>
      <c r="G247" s="234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234"/>
      <c r="F248" s="234"/>
      <c r="G248" s="234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234"/>
      <c r="F249" s="234"/>
      <c r="G249" s="234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234"/>
      <c r="F250" s="234"/>
      <c r="G250" s="234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234"/>
      <c r="F251" s="234"/>
      <c r="G251" s="234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234"/>
      <c r="F252" s="234"/>
      <c r="G252" s="234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234"/>
      <c r="F253" s="234"/>
      <c r="G253" s="234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234"/>
      <c r="F254" s="234"/>
      <c r="G254" s="234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234"/>
      <c r="F255" s="234"/>
      <c r="G255" s="234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234"/>
      <c r="F256" s="234"/>
      <c r="G256" s="234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234"/>
      <c r="F257" s="234"/>
      <c r="G257" s="234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234"/>
      <c r="F258" s="234"/>
      <c r="G258" s="234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234"/>
      <c r="F259" s="234"/>
      <c r="G259" s="234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234"/>
      <c r="F260" s="234"/>
      <c r="G260" s="234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234"/>
      <c r="F261" s="234"/>
      <c r="G261" s="234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234"/>
      <c r="F262" s="234"/>
      <c r="G262" s="234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234"/>
      <c r="F263" s="234"/>
      <c r="G263" s="234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234"/>
      <c r="F264" s="234"/>
      <c r="G264" s="234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234"/>
      <c r="F265" s="234"/>
      <c r="G265" s="234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234"/>
      <c r="F266" s="234"/>
      <c r="G266" s="234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234"/>
      <c r="F267" s="234"/>
      <c r="G267" s="234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234"/>
      <c r="F268" s="234"/>
      <c r="G268" s="234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234"/>
      <c r="F269" s="234"/>
      <c r="G269" s="234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234"/>
      <c r="F270" s="234"/>
      <c r="G270" s="234"/>
      <c r="H270" s="66" t="str">
        <f>VLOOKUP(A270,'Tot KPA'!A:H,8,0)</f>
        <v>Contracted services</v>
      </c>
      <c r="I270" s="66">
        <f>VLOOKUP(A270,'Tot KPA'!A:I,9,0)</f>
        <v>0</v>
      </c>
    </row>
    <row r="271" spans="1:9" x14ac:dyDescent="0.35">
      <c r="A271" s="66" t="s">
        <v>2918</v>
      </c>
      <c r="B271" s="89">
        <v>9000</v>
      </c>
      <c r="C271" s="89">
        <v>9000</v>
      </c>
      <c r="D271" s="235"/>
      <c r="E271" s="235"/>
      <c r="F271" s="235"/>
      <c r="G271" s="235"/>
      <c r="H271" s="66" t="str">
        <f>VLOOKUP(A271,'Tot KPA'!A:H,8,0)</f>
        <v>Contracted services</v>
      </c>
      <c r="I271" s="66">
        <f>VLOOKUP(A271,'Tot KPA'!A:I,9,0)</f>
        <v>0</v>
      </c>
    </row>
    <row r="272" spans="1:9" x14ac:dyDescent="0.35">
      <c r="A272" s="66" t="s">
        <v>3439</v>
      </c>
      <c r="B272" s="89">
        <v>8400</v>
      </c>
      <c r="C272" s="89">
        <v>8400</v>
      </c>
      <c r="D272" s="235">
        <v>5900</v>
      </c>
      <c r="E272" s="235">
        <v>6500</v>
      </c>
      <c r="F272" s="235">
        <v>7000</v>
      </c>
      <c r="G272" s="235">
        <v>7600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>
        <v>0</v>
      </c>
      <c r="C273" s="89">
        <v>0</v>
      </c>
      <c r="D273" s="89"/>
      <c r="E273" s="89">
        <v>0</v>
      </c>
      <c r="F273" s="89">
        <v>0</v>
      </c>
      <c r="G273" s="89">
        <v>0</v>
      </c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x14ac:dyDescent="0.35">
      <c r="A275" s="66" t="s">
        <v>3476</v>
      </c>
      <c r="B275" s="89">
        <v>9000</v>
      </c>
      <c r="C275" s="89">
        <v>9000</v>
      </c>
      <c r="D275" s="235">
        <v>6580</v>
      </c>
      <c r="E275" s="235">
        <v>7000</v>
      </c>
      <c r="F275" s="235">
        <v>8000</v>
      </c>
      <c r="G275" s="235">
        <v>9000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>
        <v>0</v>
      </c>
      <c r="C276" s="89">
        <v>0</v>
      </c>
      <c r="D276" s="235">
        <v>0</v>
      </c>
      <c r="E276" s="235">
        <v>0</v>
      </c>
      <c r="F276" s="235">
        <v>0</v>
      </c>
      <c r="G276" s="235">
        <v>0</v>
      </c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0</v>
      </c>
      <c r="C277" s="89">
        <v>0</v>
      </c>
      <c r="D277" s="235">
        <v>0</v>
      </c>
      <c r="E277" s="235">
        <v>0</v>
      </c>
      <c r="F277" s="235">
        <v>0</v>
      </c>
      <c r="G277" s="235">
        <v>0</v>
      </c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>
        <v>0</v>
      </c>
      <c r="D278" s="235">
        <v>0</v>
      </c>
      <c r="E278" s="235">
        <v>0</v>
      </c>
      <c r="F278" s="235">
        <v>0</v>
      </c>
      <c r="G278" s="235">
        <v>0</v>
      </c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>
        <v>0</v>
      </c>
      <c r="D279" s="235">
        <v>0</v>
      </c>
      <c r="E279" s="235">
        <v>0</v>
      </c>
      <c r="F279" s="235">
        <v>0</v>
      </c>
      <c r="G279" s="235">
        <v>0</v>
      </c>
      <c r="H279" s="66" t="str">
        <f>VLOOKUP(A279,'Tot KPA'!A:H,8,0)</f>
        <v>Other expenditure</v>
      </c>
      <c r="I279" s="66">
        <f>VLOOKUP(A279,'Tot KPA'!A:I,9,0)</f>
        <v>0</v>
      </c>
    </row>
    <row r="280" spans="1:9" x14ac:dyDescent="0.35">
      <c r="A280" s="66" t="s">
        <v>3447</v>
      </c>
      <c r="B280" s="89">
        <f>40700+20000</f>
        <v>60700</v>
      </c>
      <c r="C280" s="89">
        <f>40700+20000</f>
        <v>60700</v>
      </c>
      <c r="D280" s="235">
        <v>41219.879999999997</v>
      </c>
      <c r="E280" s="235">
        <f>40700+20000-20000+7300</f>
        <v>48000</v>
      </c>
      <c r="F280" s="235">
        <v>64000</v>
      </c>
      <c r="G280" s="235">
        <v>67500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>
        <v>0</v>
      </c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H288" s="66" t="str">
        <f>VLOOKUP(A288,'Tot KPA'!A:H,8,0)</f>
        <v>Other expenditure</v>
      </c>
      <c r="I288" s="66">
        <f>VLOOKUP(A288,'Tot KPA'!A:I,9,0)</f>
        <v>0</v>
      </c>
    </row>
    <row r="289" spans="1:7" ht="15" thickBot="1" x14ac:dyDescent="0.4">
      <c r="A289" s="117" t="s">
        <v>2546</v>
      </c>
      <c r="B289" s="112">
        <f t="shared" ref="B289:G289" si="1">SUM(B125:B287)</f>
        <v>1473600</v>
      </c>
      <c r="C289" s="112">
        <f t="shared" si="1"/>
        <v>1423600</v>
      </c>
      <c r="D289" s="112">
        <f t="shared" si="1"/>
        <v>1088035.54</v>
      </c>
      <c r="E289" s="112">
        <f t="shared" si="1"/>
        <v>1354600</v>
      </c>
      <c r="F289" s="112">
        <f t="shared" si="1"/>
        <v>1300100</v>
      </c>
      <c r="G289" s="112">
        <f t="shared" si="1"/>
        <v>1168400</v>
      </c>
    </row>
    <row r="290" spans="1:7" ht="15" thickTop="1" x14ac:dyDescent="0.35"/>
    <row r="291" spans="1:7" ht="15" thickBot="1" x14ac:dyDescent="0.4">
      <c r="A291" s="117" t="s">
        <v>2674</v>
      </c>
      <c r="B291" s="112">
        <f t="shared" ref="B291:G291" si="2">+B121+B289</f>
        <v>691900</v>
      </c>
      <c r="C291" s="112">
        <f t="shared" si="2"/>
        <v>1171900</v>
      </c>
      <c r="D291" s="112">
        <f t="shared" si="2"/>
        <v>348452.35000000009</v>
      </c>
      <c r="E291" s="112">
        <f t="shared" si="2"/>
        <v>539000</v>
      </c>
      <c r="F291" s="112">
        <f t="shared" si="2"/>
        <v>584200</v>
      </c>
      <c r="G291" s="112">
        <f t="shared" si="2"/>
        <v>420300</v>
      </c>
    </row>
    <row r="292" spans="1:7" ht="15" thickTop="1" x14ac:dyDescent="0.35"/>
  </sheetData>
  <sortState xmlns:xlrd2="http://schemas.microsoft.com/office/spreadsheetml/2017/richdata2" ref="A125:I288">
    <sortCondition ref="A125:A288"/>
  </sortState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B14" sqref="B14"/>
    </sheetView>
  </sheetViews>
  <sheetFormatPr defaultRowHeight="14.5" x14ac:dyDescent="0.35"/>
  <cols>
    <col min="1" max="1" width="21.81640625" bestFit="1" customWidth="1"/>
    <col min="2" max="3" width="14.1796875" style="2" bestFit="1" customWidth="1"/>
    <col min="4" max="4" width="16" style="2" bestFit="1" customWidth="1"/>
    <col min="5" max="5" width="14.81640625" customWidth="1"/>
    <col min="6" max="6" width="15" customWidth="1"/>
    <col min="7" max="7" width="13.54296875" bestFit="1" customWidth="1"/>
    <col min="8" max="8" width="15.1796875" customWidth="1"/>
    <col min="9" max="9" width="14.453125" customWidth="1"/>
    <col min="10" max="10" width="13.7265625" customWidth="1"/>
  </cols>
  <sheetData>
    <row r="1" spans="1:10" ht="26.25" customHeight="1" x14ac:dyDescent="0.35">
      <c r="A1" s="246" t="s">
        <v>2567</v>
      </c>
      <c r="B1" s="247" t="s">
        <v>2568</v>
      </c>
      <c r="C1" s="247" t="s">
        <v>2569</v>
      </c>
      <c r="D1" s="247" t="s">
        <v>2570</v>
      </c>
      <c r="E1" s="248" t="s">
        <v>2571</v>
      </c>
      <c r="F1" s="248" t="s">
        <v>2572</v>
      </c>
      <c r="G1" s="248" t="s">
        <v>2573</v>
      </c>
      <c r="H1" s="248" t="s">
        <v>2574</v>
      </c>
      <c r="I1" s="248" t="s">
        <v>2575</v>
      </c>
      <c r="J1" s="248" t="s">
        <v>2576</v>
      </c>
    </row>
    <row r="2" spans="1:10" x14ac:dyDescent="0.35">
      <c r="A2" s="246"/>
      <c r="B2" s="247"/>
      <c r="C2" s="247"/>
      <c r="D2" s="247"/>
      <c r="E2" s="248"/>
      <c r="F2" s="248"/>
      <c r="G2" s="248"/>
      <c r="H2" s="248"/>
      <c r="I2" s="248"/>
      <c r="J2" s="248"/>
    </row>
    <row r="3" spans="1:10" ht="8.25" customHeight="1" x14ac:dyDescent="0.35">
      <c r="A3" s="47"/>
      <c r="B3" s="48"/>
      <c r="C3" s="48"/>
      <c r="D3" s="48"/>
      <c r="E3" s="47"/>
      <c r="F3" s="47"/>
      <c r="G3" s="47"/>
      <c r="H3" s="47"/>
    </row>
    <row r="4" spans="1:10" x14ac:dyDescent="0.35">
      <c r="A4" s="51" t="str">
        <f>+'Performance old'!B3</f>
        <v>COUNCIL GENERAL</v>
      </c>
      <c r="B4" s="49">
        <f>+'Performance old'!E20</f>
        <v>-5499540</v>
      </c>
      <c r="C4" s="49">
        <f>+'Performance old'!F20</f>
        <v>-10742600.739999998</v>
      </c>
      <c r="D4" s="49">
        <f>+'Performance old'!G20</f>
        <v>-18415886.982857145</v>
      </c>
      <c r="E4" s="49">
        <f>+'Performance old'!E68</f>
        <v>2432155</v>
      </c>
      <c r="F4" s="49">
        <f>+'Performance old'!F68</f>
        <v>6507844.4200000009</v>
      </c>
      <c r="G4" s="49">
        <f>+'Performance old'!G68</f>
        <v>11156304.720000001</v>
      </c>
      <c r="H4" s="49">
        <f>+B4+E4</f>
        <v>-3067385</v>
      </c>
      <c r="I4" s="49">
        <f>+C4+F4</f>
        <v>-4234756.3199999975</v>
      </c>
      <c r="J4" s="49">
        <f>+D4+G4</f>
        <v>-7259582.2628571447</v>
      </c>
    </row>
    <row r="5" spans="1:10" x14ac:dyDescent="0.35">
      <c r="A5" s="51" t="str">
        <f>+'Performance old'!B73</f>
        <v>FINANCE</v>
      </c>
      <c r="B5" s="49">
        <f>+'Performance old'!E109</f>
        <v>-14018656</v>
      </c>
      <c r="C5" s="49">
        <f>+'Performance old'!F109</f>
        <v>-15444042.98</v>
      </c>
      <c r="D5" s="49">
        <f>+'Performance old'!G109</f>
        <v>-26475502.251428571</v>
      </c>
      <c r="E5" s="49">
        <f>+'Performance old'!E164</f>
        <v>14609503</v>
      </c>
      <c r="F5" s="49">
        <f>+'Performance old'!F164</f>
        <v>12169672.52</v>
      </c>
      <c r="G5" s="49">
        <f>+'Performance old'!G164</f>
        <v>20862295.748571426</v>
      </c>
      <c r="H5" s="49">
        <f t="shared" ref="H5:J22" si="0">+B5+E5</f>
        <v>590847</v>
      </c>
      <c r="I5" s="49">
        <f t="shared" si="0"/>
        <v>-3274370.4600000009</v>
      </c>
      <c r="J5" s="49">
        <f t="shared" si="0"/>
        <v>-5613206.5028571449</v>
      </c>
    </row>
    <row r="6" spans="1:10" x14ac:dyDescent="0.35">
      <c r="A6" s="51" t="str">
        <f>+'Performance old'!B169</f>
        <v>RATES</v>
      </c>
      <c r="B6" s="49">
        <f>+'Performance old'!E181</f>
        <v>-5140880</v>
      </c>
      <c r="C6" s="49">
        <f>+'Performance old'!F181</f>
        <v>-4867843.76</v>
      </c>
      <c r="D6" s="49">
        <f>+'Performance old'!G181</f>
        <v>-8344875.0171428584</v>
      </c>
      <c r="E6" s="49">
        <f>+'Performance old'!E194</f>
        <v>1078000</v>
      </c>
      <c r="F6" s="49">
        <f>+'Performance old'!F194</f>
        <v>0</v>
      </c>
      <c r="G6" s="49">
        <f>+'Performance old'!G194</f>
        <v>0</v>
      </c>
      <c r="H6" s="49">
        <f t="shared" si="0"/>
        <v>-4062880</v>
      </c>
      <c r="I6" s="49">
        <f t="shared" si="0"/>
        <v>-4867843.76</v>
      </c>
      <c r="J6" s="49">
        <f t="shared" si="0"/>
        <v>-8344875.0171428584</v>
      </c>
    </row>
    <row r="7" spans="1:10" x14ac:dyDescent="0.35">
      <c r="A7" s="51" t="str">
        <f>+'Performance old'!B199</f>
        <v>CORPORATE SERVICES</v>
      </c>
      <c r="B7" s="49">
        <f>+'Performance old'!E206</f>
        <v>-1000</v>
      </c>
      <c r="C7" s="49">
        <f>+'Performance old'!F206</f>
        <v>0</v>
      </c>
      <c r="D7" s="49">
        <f>+'Performance old'!G206</f>
        <v>0</v>
      </c>
      <c r="E7" s="49">
        <f>+'Performance old'!E247</f>
        <v>4761425</v>
      </c>
      <c r="F7" s="49">
        <f>+'Performance old'!F247</f>
        <v>2667171.77</v>
      </c>
      <c r="G7" s="49">
        <f>+'Performance old'!G247</f>
        <v>4572294.4628571421</v>
      </c>
      <c r="H7" s="49">
        <f t="shared" si="0"/>
        <v>4760425</v>
      </c>
      <c r="I7" s="49">
        <f t="shared" si="0"/>
        <v>2667171.77</v>
      </c>
      <c r="J7" s="49">
        <f t="shared" si="0"/>
        <v>4572294.4628571421</v>
      </c>
    </row>
    <row r="8" spans="1:10" x14ac:dyDescent="0.35">
      <c r="A8" s="51" t="str">
        <f>+'Performance old'!B252</f>
        <v>PROJEKEENHEID</v>
      </c>
      <c r="B8" s="49">
        <f>+'Performance old'!E256</f>
        <v>0</v>
      </c>
      <c r="C8" s="49">
        <f>+'Performance old'!F256</f>
        <v>-285</v>
      </c>
      <c r="D8" s="49">
        <f>+'Performance old'!G256</f>
        <v>-488.57142857142856</v>
      </c>
      <c r="E8" s="49">
        <f>+'Performance old'!E267</f>
        <v>0</v>
      </c>
      <c r="F8" s="49">
        <f>+'Performance old'!F267</f>
        <v>0</v>
      </c>
      <c r="G8" s="49">
        <f>+'Performance old'!G267</f>
        <v>0</v>
      </c>
      <c r="H8" s="49">
        <f t="shared" si="0"/>
        <v>0</v>
      </c>
      <c r="I8" s="49">
        <f t="shared" si="0"/>
        <v>-285</v>
      </c>
      <c r="J8" s="49">
        <f t="shared" si="0"/>
        <v>-488.57142857142856</v>
      </c>
    </row>
    <row r="9" spans="1:10" x14ac:dyDescent="0.35">
      <c r="A9" s="51" t="str">
        <f>+'Performance old'!B272</f>
        <v>LIBRARIES</v>
      </c>
      <c r="B9" s="49">
        <f>+'Performance old'!E280</f>
        <v>-721006</v>
      </c>
      <c r="C9" s="49">
        <f>+'Performance old'!F280</f>
        <v>-3358.7</v>
      </c>
      <c r="D9" s="49">
        <f>+'Performance old'!G280</f>
        <v>-5757.7714285714283</v>
      </c>
      <c r="E9" s="49">
        <f>+'Performance old'!E307</f>
        <v>721005</v>
      </c>
      <c r="F9" s="49">
        <f>+'Performance old'!F307</f>
        <v>52155.54</v>
      </c>
      <c r="G9" s="49">
        <f>+'Performance old'!G307</f>
        <v>89409.497142857144</v>
      </c>
      <c r="H9" s="49">
        <f t="shared" si="0"/>
        <v>-1</v>
      </c>
      <c r="I9" s="49">
        <f t="shared" si="0"/>
        <v>48796.840000000004</v>
      </c>
      <c r="J9" s="49">
        <f t="shared" si="0"/>
        <v>83651.725714285712</v>
      </c>
    </row>
    <row r="10" spans="1:10" x14ac:dyDescent="0.35">
      <c r="A10" s="51" t="str">
        <f>+'Performance old'!B312</f>
        <v>COMMONAGE</v>
      </c>
      <c r="B10" s="49">
        <f>+'Performance old'!E317</f>
        <v>-275000</v>
      </c>
      <c r="C10" s="49">
        <f>+'Performance old'!F317</f>
        <v>-216169.75</v>
      </c>
      <c r="D10" s="49">
        <f>+'Performance old'!G317</f>
        <v>-370576.71428571432</v>
      </c>
      <c r="E10" s="49">
        <f>+'Performance old'!E335</f>
        <v>52000</v>
      </c>
      <c r="F10" s="49">
        <f>+'Performance old'!F335</f>
        <v>66204.91</v>
      </c>
      <c r="G10" s="49">
        <f>+'Performance old'!G335</f>
        <v>113494.13142857143</v>
      </c>
      <c r="H10" s="49">
        <f t="shared" si="0"/>
        <v>-223000</v>
      </c>
      <c r="I10" s="49">
        <f t="shared" si="0"/>
        <v>-149964.84</v>
      </c>
      <c r="J10" s="49">
        <f t="shared" si="0"/>
        <v>-257082.5828571429</v>
      </c>
    </row>
    <row r="11" spans="1:10" x14ac:dyDescent="0.35">
      <c r="A11" s="51" t="str">
        <f>+'Performance old'!B340</f>
        <v>TOWN HALL &amp; BUILDINGS</v>
      </c>
      <c r="B11" s="49">
        <f>+'Performance old'!E346</f>
        <v>-162500</v>
      </c>
      <c r="C11" s="49">
        <f>+'Performance old'!F346</f>
        <v>-108054.93</v>
      </c>
      <c r="D11" s="49">
        <f>+'Performance old'!G346</f>
        <v>-185237.02285714287</v>
      </c>
      <c r="E11" s="49">
        <f>+'Performance old'!E364</f>
        <v>527000</v>
      </c>
      <c r="F11" s="49">
        <f>+'Performance old'!F364</f>
        <v>164191.07</v>
      </c>
      <c r="G11" s="49">
        <f>+'Performance old'!G364</f>
        <v>281470.40571428573</v>
      </c>
      <c r="H11" s="49">
        <f t="shared" si="0"/>
        <v>364500</v>
      </c>
      <c r="I11" s="49">
        <f t="shared" si="0"/>
        <v>56136.140000000014</v>
      </c>
      <c r="J11" s="49">
        <f t="shared" si="0"/>
        <v>96233.38285714286</v>
      </c>
    </row>
    <row r="12" spans="1:10" x14ac:dyDescent="0.35">
      <c r="A12" s="51" t="str">
        <f>+'Performance old'!B369</f>
        <v>TELEVISION</v>
      </c>
      <c r="B12" s="49">
        <f>+'Performance old'!E372</f>
        <v>0</v>
      </c>
      <c r="C12" s="49">
        <f>+'Performance old'!F372</f>
        <v>0</v>
      </c>
      <c r="D12" s="49">
        <f>+'Performance old'!G372</f>
        <v>0</v>
      </c>
      <c r="E12" s="49">
        <f>+'Performance old'!E385</f>
        <v>1500</v>
      </c>
      <c r="F12" s="49">
        <f>+'Performance old'!F385</f>
        <v>0</v>
      </c>
      <c r="G12" s="49">
        <f>+'Performance old'!G385</f>
        <v>0</v>
      </c>
      <c r="H12" s="49">
        <f t="shared" si="0"/>
        <v>1500</v>
      </c>
      <c r="I12" s="49">
        <f t="shared" si="0"/>
        <v>0</v>
      </c>
      <c r="J12" s="49">
        <f t="shared" si="0"/>
        <v>0</v>
      </c>
    </row>
    <row r="13" spans="1:10" x14ac:dyDescent="0.35">
      <c r="A13" s="51" t="str">
        <f>+'Performance old'!B390</f>
        <v>CEMETERIES</v>
      </c>
      <c r="B13" s="49">
        <f>+'Performance old'!E395</f>
        <v>-5500</v>
      </c>
      <c r="C13" s="49">
        <f>+'Performance old'!F395</f>
        <v>-4302</v>
      </c>
      <c r="D13" s="49">
        <f>+'Performance old'!G395</f>
        <v>-7374.8571428571431</v>
      </c>
      <c r="E13" s="49">
        <f>+'Performance old'!E418</f>
        <v>7500</v>
      </c>
      <c r="F13" s="49">
        <f>+'Performance old'!F418</f>
        <v>80578.05</v>
      </c>
      <c r="G13" s="49">
        <f>+'Performance old'!G418</f>
        <v>138133.80000000002</v>
      </c>
      <c r="H13" s="49">
        <f t="shared" si="0"/>
        <v>2000</v>
      </c>
      <c r="I13" s="49">
        <f t="shared" si="0"/>
        <v>76276.05</v>
      </c>
      <c r="J13" s="49">
        <f t="shared" si="0"/>
        <v>130758.94285714287</v>
      </c>
    </row>
    <row r="14" spans="1:10" x14ac:dyDescent="0.35">
      <c r="A14" s="51" t="str">
        <f>+'Performance old'!B423</f>
        <v>PARKS &amp; RECREATION</v>
      </c>
      <c r="B14" s="49">
        <f>+'Performance old'!E430</f>
        <v>-24000</v>
      </c>
      <c r="C14" s="49">
        <f>+'Performance old'!F430</f>
        <v>-21553.200000000001</v>
      </c>
      <c r="D14" s="49">
        <f>+'Performance old'!G430</f>
        <v>-36948.342857142852</v>
      </c>
      <c r="E14" s="49">
        <f>+'Performance old'!E461</f>
        <v>860340</v>
      </c>
      <c r="F14" s="49">
        <f>+'Performance old'!F461</f>
        <v>775989.00999999989</v>
      </c>
      <c r="G14" s="49">
        <f>+'Performance old'!G461</f>
        <v>1330266.8742857145</v>
      </c>
      <c r="H14" s="49">
        <f t="shared" si="0"/>
        <v>836340</v>
      </c>
      <c r="I14" s="49">
        <f t="shared" si="0"/>
        <v>754435.80999999994</v>
      </c>
      <c r="J14" s="49">
        <f t="shared" si="0"/>
        <v>1293318.5314285716</v>
      </c>
    </row>
    <row r="15" spans="1:10" x14ac:dyDescent="0.35">
      <c r="A15" s="51" t="str">
        <f>+'Performance old'!B466</f>
        <v>HEALTH</v>
      </c>
      <c r="B15" s="49">
        <f>+'Performance old'!E471</f>
        <v>0</v>
      </c>
      <c r="C15" s="49">
        <f>+'Performance old'!F471</f>
        <v>0</v>
      </c>
      <c r="D15" s="49">
        <f>+'Performance old'!G471</f>
        <v>0</v>
      </c>
      <c r="E15" s="49">
        <f>+'Performance old'!E488</f>
        <v>30000</v>
      </c>
      <c r="F15" s="49">
        <f>+'Performance old'!F488</f>
        <v>75056</v>
      </c>
      <c r="G15" s="49">
        <f>+'Performance old'!G488</f>
        <v>128667.42857142858</v>
      </c>
      <c r="H15" s="49">
        <f t="shared" si="0"/>
        <v>30000</v>
      </c>
      <c r="I15" s="49">
        <f t="shared" si="0"/>
        <v>75056</v>
      </c>
      <c r="J15" s="49">
        <f t="shared" si="0"/>
        <v>128667.42857142858</v>
      </c>
    </row>
    <row r="16" spans="1:10" x14ac:dyDescent="0.35">
      <c r="A16" s="51" t="str">
        <f>+'Performance old'!B493</f>
        <v>ECONOMIC DEVELOPMENT</v>
      </c>
      <c r="B16" s="49">
        <f>+'Performance old'!E502</f>
        <v>0</v>
      </c>
      <c r="C16" s="49">
        <f>+'Performance old'!F502</f>
        <v>-249.1</v>
      </c>
      <c r="D16" s="49">
        <f>+'Performance old'!G502</f>
        <v>-427.02857142857135</v>
      </c>
      <c r="E16" s="49">
        <f>+'Performance old'!E540</f>
        <v>75000</v>
      </c>
      <c r="F16" s="49">
        <f>+'Performance old'!F540</f>
        <v>17033.7</v>
      </c>
      <c r="G16" s="49">
        <f>+'Performance old'!G540</f>
        <v>29200.628571428573</v>
      </c>
      <c r="H16" s="49">
        <f t="shared" si="0"/>
        <v>75000</v>
      </c>
      <c r="I16" s="49">
        <f t="shared" si="0"/>
        <v>16784.600000000002</v>
      </c>
      <c r="J16" s="49">
        <f t="shared" si="0"/>
        <v>28773.600000000002</v>
      </c>
    </row>
    <row r="17" spans="1:10" x14ac:dyDescent="0.35">
      <c r="A17" s="51" t="str">
        <f>+'Performance old'!B545</f>
        <v>STREETS &amp; PUBLIC WORKS</v>
      </c>
      <c r="B17" s="49">
        <f>+'Performance old'!E549</f>
        <v>0</v>
      </c>
      <c r="C17" s="49">
        <f>+'Performance old'!F549</f>
        <v>0</v>
      </c>
      <c r="D17" s="49">
        <f>+'Performance old'!G549</f>
        <v>0</v>
      </c>
      <c r="E17" s="49">
        <f>+'Performance old'!E577</f>
        <v>11544714</v>
      </c>
      <c r="F17" s="49">
        <f>+'Performance old'!F577</f>
        <v>1307247.0899999996</v>
      </c>
      <c r="G17" s="49">
        <f>+'Performance old'!G577</f>
        <v>2240995.0114285713</v>
      </c>
      <c r="H17" s="49">
        <f t="shared" si="0"/>
        <v>11544714</v>
      </c>
      <c r="I17" s="49">
        <f t="shared" si="0"/>
        <v>1307247.0899999996</v>
      </c>
      <c r="J17" s="49">
        <f t="shared" si="0"/>
        <v>2240995.0114285713</v>
      </c>
    </row>
    <row r="18" spans="1:10" x14ac:dyDescent="0.35">
      <c r="A18" s="51" t="str">
        <f>+'Performance old'!B582</f>
        <v>CIVIL ELECTRO TECHNICAL</v>
      </c>
      <c r="B18" s="49">
        <f>+'Performance old'!E585</f>
        <v>0</v>
      </c>
      <c r="C18" s="49">
        <f>+'Performance old'!F585</f>
        <v>0</v>
      </c>
      <c r="D18" s="49">
        <f>+'Performance old'!G585</f>
        <v>0</v>
      </c>
      <c r="E18" s="49">
        <f>+'Performance old'!E596</f>
        <v>75000</v>
      </c>
      <c r="F18" s="49">
        <f>+'Performance old'!F596</f>
        <v>59335.68</v>
      </c>
      <c r="G18" s="49">
        <f>+'Performance old'!G596</f>
        <v>101718.30857142856</v>
      </c>
      <c r="H18" s="49">
        <f t="shared" si="0"/>
        <v>75000</v>
      </c>
      <c r="I18" s="49">
        <f t="shared" si="0"/>
        <v>59335.68</v>
      </c>
      <c r="J18" s="49">
        <f t="shared" si="0"/>
        <v>101718.30857142856</v>
      </c>
    </row>
    <row r="19" spans="1:10" x14ac:dyDescent="0.35">
      <c r="A19" s="51" t="str">
        <f>+'Performance old'!B601</f>
        <v>STREETLIGHTS</v>
      </c>
      <c r="B19" s="49">
        <f>+'Performance old'!E603</f>
        <v>0</v>
      </c>
      <c r="C19" s="49">
        <f>+'Performance old'!F603</f>
        <v>0</v>
      </c>
      <c r="D19" s="49">
        <f>+'Performance old'!G603</f>
        <v>0</v>
      </c>
      <c r="E19" s="49">
        <f>+'Performance old'!E617</f>
        <v>20000</v>
      </c>
      <c r="F19" s="49">
        <f>+'Performance old'!F617</f>
        <v>4927.95</v>
      </c>
      <c r="G19" s="49">
        <f>+'Performance old'!G617</f>
        <v>8447.9142857142851</v>
      </c>
      <c r="H19" s="49">
        <f t="shared" si="0"/>
        <v>20000</v>
      </c>
      <c r="I19" s="49">
        <f t="shared" si="0"/>
        <v>4927.95</v>
      </c>
      <c r="J19" s="49">
        <f t="shared" si="0"/>
        <v>8447.9142857142851</v>
      </c>
    </row>
    <row r="20" spans="1:10" x14ac:dyDescent="0.35">
      <c r="A20" s="51" t="str">
        <f>+'Performance old'!B622</f>
        <v>ELECTRICITY</v>
      </c>
      <c r="B20" s="49">
        <f>+'Performance old'!E633</f>
        <v>-10679496</v>
      </c>
      <c r="C20" s="49">
        <f>+'Performance old'!F633</f>
        <v>-5021136.76</v>
      </c>
      <c r="D20" s="49">
        <f>+'Performance old'!G633</f>
        <v>-8607663.0171428565</v>
      </c>
      <c r="E20" s="49">
        <f>+'Performance old'!E672</f>
        <v>11842409</v>
      </c>
      <c r="F20" s="49">
        <f>+'Performance old'!F672</f>
        <v>4390762.38</v>
      </c>
      <c r="G20" s="49">
        <f>+'Performance old'!G672</f>
        <v>7527021.2228571437</v>
      </c>
      <c r="H20" s="49">
        <f t="shared" si="0"/>
        <v>1162913</v>
      </c>
      <c r="I20" s="49">
        <f t="shared" si="0"/>
        <v>-630374.37999999989</v>
      </c>
      <c r="J20" s="49">
        <f t="shared" si="0"/>
        <v>-1080641.7942857128</v>
      </c>
    </row>
    <row r="21" spans="1:10" x14ac:dyDescent="0.35">
      <c r="A21" s="51" t="str">
        <f>+'Performance old'!B677</f>
        <v>WATER</v>
      </c>
      <c r="B21" s="49">
        <f>+'Performance old'!E686</f>
        <v>-5500000</v>
      </c>
      <c r="C21" s="49">
        <f>+'Performance old'!F686</f>
        <v>-1367374.76</v>
      </c>
      <c r="D21" s="49">
        <f>+'Performance old'!G686</f>
        <v>-2344071.017142857</v>
      </c>
      <c r="E21" s="49">
        <f>+'Performance old'!E720</f>
        <v>6584378</v>
      </c>
      <c r="F21" s="49">
        <f>+'Performance old'!F720</f>
        <v>789004.08</v>
      </c>
      <c r="G21" s="49">
        <f>+'Performance old'!G720</f>
        <v>1352578.422857143</v>
      </c>
      <c r="H21" s="49">
        <f t="shared" si="0"/>
        <v>1084378</v>
      </c>
      <c r="I21" s="49">
        <f t="shared" si="0"/>
        <v>-578370.68000000005</v>
      </c>
      <c r="J21" s="49">
        <f t="shared" si="0"/>
        <v>-991492.59428571397</v>
      </c>
    </row>
    <row r="22" spans="1:10" x14ac:dyDescent="0.35">
      <c r="A22" s="51" t="str">
        <f>+'Performance old'!B725</f>
        <v>SANITATION</v>
      </c>
      <c r="B22" s="49">
        <f>+'Performance old'!E736</f>
        <v>-7996767</v>
      </c>
      <c r="C22" s="49">
        <f>+'Performance old'!F736</f>
        <v>-2182284.9200000004</v>
      </c>
      <c r="D22" s="49">
        <f>+'Performance old'!G736</f>
        <v>-3741059.8628571425</v>
      </c>
      <c r="E22" s="49">
        <f>+'Performance old'!E772</f>
        <v>8418255</v>
      </c>
      <c r="F22" s="49">
        <f>+'Performance old'!F772</f>
        <v>2237882.0499999993</v>
      </c>
      <c r="G22" s="49">
        <f>+'Performance old'!G772</f>
        <v>3836369.228571428</v>
      </c>
      <c r="H22" s="49">
        <f t="shared" si="0"/>
        <v>421488</v>
      </c>
      <c r="I22" s="49">
        <f t="shared" si="0"/>
        <v>55597.129999998957</v>
      </c>
      <c r="J22" s="49">
        <f t="shared" si="0"/>
        <v>95309.365714285523</v>
      </c>
    </row>
    <row r="23" spans="1:10" x14ac:dyDescent="0.35">
      <c r="A23" s="47"/>
      <c r="B23" s="48"/>
      <c r="C23" s="48"/>
      <c r="D23" s="48"/>
      <c r="E23" s="47"/>
      <c r="F23" s="47"/>
      <c r="G23" s="47"/>
      <c r="H23" s="47"/>
    </row>
    <row r="24" spans="1:10" ht="15" thickBot="1" x14ac:dyDescent="0.4">
      <c r="A24" s="47"/>
      <c r="B24" s="50">
        <f>SUM(B4:B23)</f>
        <v>-50024345</v>
      </c>
      <c r="C24" s="50">
        <f t="shared" ref="C24:J24" si="1">SUM(C4:C23)</f>
        <v>-39979256.599999994</v>
      </c>
      <c r="D24" s="50">
        <f t="shared" si="1"/>
        <v>-68535868.45714286</v>
      </c>
      <c r="E24" s="50">
        <f t="shared" si="1"/>
        <v>63640184</v>
      </c>
      <c r="F24" s="50">
        <f t="shared" si="1"/>
        <v>31365056.219999999</v>
      </c>
      <c r="G24" s="50">
        <f t="shared" si="1"/>
        <v>53768667.805714272</v>
      </c>
      <c r="H24" s="50">
        <f t="shared" si="1"/>
        <v>13615839</v>
      </c>
      <c r="I24" s="50">
        <f t="shared" si="1"/>
        <v>-8614200.379999999</v>
      </c>
      <c r="J24" s="50">
        <f t="shared" si="1"/>
        <v>-14767200.651428578</v>
      </c>
    </row>
    <row r="25" spans="1:10" ht="15" thickTop="1" x14ac:dyDescent="0.35">
      <c r="E25" s="2"/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/>
    <pageSetUpPr fitToPage="1"/>
  </sheetPr>
  <dimension ref="A1:I293"/>
  <sheetViews>
    <sheetView zoomScale="69" zoomScaleNormal="69" workbookViewId="0">
      <selection activeCell="E275" activeCellId="2" sqref="E125 E169 E275:E280"/>
    </sheetView>
  </sheetViews>
  <sheetFormatPr defaultColWidth="9.1796875" defaultRowHeight="14.5" x14ac:dyDescent="0.35"/>
  <cols>
    <col min="1" max="1" width="61.36328125" style="113" customWidth="1"/>
    <col min="2" max="2" width="19.7265625" style="113" customWidth="1"/>
    <col min="3" max="3" width="17" style="113" customWidth="1"/>
    <col min="4" max="4" width="18" style="111" customWidth="1"/>
    <col min="5" max="5" width="17" style="113" customWidth="1"/>
    <col min="6" max="7" width="15.81640625" style="113" customWidth="1"/>
    <col min="8" max="8" width="36.54296875" style="113" customWidth="1"/>
    <col min="9" max="9" width="31.26953125" style="113" customWidth="1"/>
    <col min="10" max="16384" width="9.1796875" style="113"/>
  </cols>
  <sheetData>
    <row r="1" spans="1:9" ht="15" thickBot="1" x14ac:dyDescent="0.4">
      <c r="F1" s="118">
        <v>10</v>
      </c>
      <c r="G1" s="118"/>
    </row>
    <row r="2" spans="1:9" ht="29.5" thickBot="1" x14ac:dyDescent="0.4">
      <c r="A2" s="120" t="s">
        <v>2808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2686</v>
      </c>
      <c r="B4" s="111"/>
      <c r="C4" s="114"/>
      <c r="E4" s="111"/>
      <c r="F4" s="116"/>
      <c r="G4" s="116"/>
    </row>
    <row r="5" spans="1:9" x14ac:dyDescent="0.35">
      <c r="A5" s="126"/>
      <c r="B5" s="111"/>
      <c r="C5" s="114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x14ac:dyDescent="0.35">
      <c r="A12" s="66" t="s">
        <v>2977</v>
      </c>
      <c r="B12" s="89">
        <v>-7000</v>
      </c>
      <c r="C12" s="89">
        <v>-7000</v>
      </c>
      <c r="D12" s="235">
        <v>-6200</v>
      </c>
      <c r="E12" s="235">
        <v>-7000</v>
      </c>
      <c r="F12" s="235">
        <v>-8000</v>
      </c>
      <c r="G12" s="235">
        <v>-9000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/>
      <c r="C13" s="89"/>
      <c r="D13" s="89"/>
      <c r="E13" s="234"/>
      <c r="F13" s="234"/>
      <c r="G13" s="234"/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/>
      <c r="C14" s="89"/>
      <c r="D14" s="89"/>
      <c r="E14" s="234"/>
      <c r="F14" s="234"/>
      <c r="G14" s="234"/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/>
      <c r="C15" s="89"/>
      <c r="D15" s="89"/>
      <c r="E15" s="234"/>
      <c r="F15" s="234"/>
      <c r="G15" s="234"/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/>
      <c r="C16" s="89"/>
      <c r="D16" s="89"/>
      <c r="E16" s="234"/>
      <c r="F16" s="234"/>
      <c r="G16" s="234"/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/>
      <c r="C18" s="89"/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/>
      <c r="C23" s="89"/>
      <c r="D23" s="89"/>
      <c r="E23" s="234"/>
      <c r="F23" s="234"/>
      <c r="G23" s="234"/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/>
      <c r="C24" s="89"/>
      <c r="D24" s="89"/>
      <c r="E24" s="234"/>
      <c r="F24" s="234"/>
      <c r="G24" s="234"/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/>
      <c r="C25" s="89"/>
      <c r="D25" s="89"/>
      <c r="E25" s="234"/>
      <c r="F25" s="234"/>
      <c r="G25" s="234"/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89"/>
      <c r="E26" s="234"/>
      <c r="F26" s="234"/>
      <c r="G26" s="234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89"/>
      <c r="E27" s="234"/>
      <c r="F27" s="234"/>
      <c r="G27" s="234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234"/>
      <c r="F28" s="234"/>
      <c r="G28" s="234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234"/>
      <c r="F29" s="234"/>
      <c r="G29" s="234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234"/>
      <c r="F30" s="234"/>
      <c r="G30" s="234"/>
      <c r="H30" s="66" t="str">
        <f>VLOOKUP(A30,'Tot KPA'!A:H,8,0)</f>
        <v>Service charges</v>
      </c>
      <c r="I30" s="66" t="str">
        <f>VLOOKUP(A30,'Tot KPA'!A:I,9,0)</f>
        <v>Refuse</v>
      </c>
    </row>
    <row r="31" spans="1:9" x14ac:dyDescent="0.35">
      <c r="A31" s="66" t="s">
        <v>2899</v>
      </c>
      <c r="B31" s="89">
        <v>-17400</v>
      </c>
      <c r="C31" s="89">
        <v>-17400</v>
      </c>
      <c r="D31" s="235">
        <v>-16000</v>
      </c>
      <c r="E31" s="235">
        <v>-17400</v>
      </c>
      <c r="F31" s="235">
        <v>-18400</v>
      </c>
      <c r="G31" s="235">
        <v>-19400</v>
      </c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>
        <v>0</v>
      </c>
      <c r="C66" s="89">
        <v>0</v>
      </c>
      <c r="D66" s="89"/>
      <c r="E66" s="89">
        <v>0</v>
      </c>
      <c r="F66" s="89">
        <v>0</v>
      </c>
      <c r="G66" s="89">
        <v>0</v>
      </c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>
        <v>0</v>
      </c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>
        <v>0</v>
      </c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>
        <v>0</v>
      </c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>
        <v>0</v>
      </c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>
        <v>0</v>
      </c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>
        <v>0</v>
      </c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>
        <v>0</v>
      </c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>
        <v>0</v>
      </c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>
        <v>0</v>
      </c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>
        <v>0</v>
      </c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>
        <v>0</v>
      </c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>
        <v>0</v>
      </c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>
        <v>0</v>
      </c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/>
      <c r="D92" s="89"/>
      <c r="E92" s="89"/>
      <c r="F92" s="89"/>
      <c r="G92" s="89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>
        <v>0</v>
      </c>
      <c r="C93" s="89"/>
      <c r="D93" s="89"/>
      <c r="E93" s="89"/>
      <c r="F93" s="89"/>
      <c r="G93" s="89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/>
      <c r="D94" s="89"/>
      <c r="E94" s="89"/>
      <c r="F94" s="89"/>
      <c r="G94" s="89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/>
      <c r="D95" s="89"/>
      <c r="E95" s="89"/>
      <c r="F95" s="89"/>
      <c r="G95" s="89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/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/>
      <c r="D100" s="89"/>
      <c r="E100" s="89"/>
      <c r="F100" s="89"/>
      <c r="G100" s="89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/>
      <c r="D101" s="89"/>
      <c r="E101" s="89"/>
      <c r="F101" s="89"/>
      <c r="G101" s="89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/>
      <c r="D102" s="89"/>
      <c r="E102" s="89"/>
      <c r="F102" s="89"/>
      <c r="G102" s="89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/>
      <c r="D103" s="89"/>
      <c r="E103" s="89"/>
      <c r="F103" s="89"/>
      <c r="G103" s="89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66"/>
      <c r="I120" s="66"/>
    </row>
    <row r="121" spans="1:9" ht="15" thickBot="1" x14ac:dyDescent="0.4">
      <c r="A121" s="117" t="s">
        <v>2545</v>
      </c>
      <c r="B121" s="112">
        <f t="shared" ref="B121:G121" si="0">SUM(B2:B119)</f>
        <v>-24400</v>
      </c>
      <c r="C121" s="112">
        <f t="shared" si="0"/>
        <v>-24400</v>
      </c>
      <c r="D121" s="112">
        <f t="shared" si="0"/>
        <v>-22200</v>
      </c>
      <c r="E121" s="112">
        <f t="shared" si="0"/>
        <v>-24400</v>
      </c>
      <c r="F121" s="112">
        <f t="shared" si="0"/>
        <v>-26400</v>
      </c>
      <c r="G121" s="112">
        <f t="shared" si="0"/>
        <v>-28400</v>
      </c>
      <c r="H121" s="66"/>
      <c r="I121" s="66"/>
    </row>
    <row r="122" spans="1:9" ht="15" thickTop="1" x14ac:dyDescent="0.35">
      <c r="H122" s="66"/>
      <c r="I122" s="66"/>
    </row>
    <row r="123" spans="1:9" x14ac:dyDescent="0.35">
      <c r="A123" s="126" t="s">
        <v>2687</v>
      </c>
      <c r="H123" s="66"/>
      <c r="I123" s="66"/>
    </row>
    <row r="124" spans="1:9" x14ac:dyDescent="0.35">
      <c r="A124" s="126"/>
      <c r="H124" s="66"/>
      <c r="I124" s="66"/>
    </row>
    <row r="125" spans="1:9" x14ac:dyDescent="0.35">
      <c r="A125" s="66" t="s">
        <v>3438</v>
      </c>
      <c r="B125" s="89">
        <v>25600</v>
      </c>
      <c r="C125" s="89">
        <v>25600</v>
      </c>
      <c r="D125" s="235">
        <v>28700</v>
      </c>
      <c r="E125" s="235">
        <v>25600</v>
      </c>
      <c r="F125" s="235">
        <v>27000</v>
      </c>
      <c r="G125" s="235">
        <v>28500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/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/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/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/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/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/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/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/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/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89"/>
      <c r="F135" s="89"/>
      <c r="G135" s="89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0</v>
      </c>
      <c r="C153" s="89">
        <v>0</v>
      </c>
      <c r="D153" s="89"/>
      <c r="E153" s="89">
        <v>0</v>
      </c>
      <c r="F153" s="89">
        <v>0</v>
      </c>
      <c r="G153" s="89">
        <v>0</v>
      </c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x14ac:dyDescent="0.35">
      <c r="A155" s="66" t="s">
        <v>3488</v>
      </c>
      <c r="B155" s="89">
        <v>70000</v>
      </c>
      <c r="C155" s="89">
        <v>70000</v>
      </c>
      <c r="D155" s="235">
        <v>66615.23</v>
      </c>
      <c r="E155" s="235">
        <v>0</v>
      </c>
      <c r="F155" s="235"/>
      <c r="G155" s="235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234"/>
      <c r="F156" s="234"/>
      <c r="G156" s="234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234"/>
      <c r="F157" s="234"/>
      <c r="G157" s="234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234"/>
      <c r="F158" s="234"/>
      <c r="G158" s="234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234"/>
      <c r="F159" s="234"/>
      <c r="G159" s="234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234"/>
      <c r="F160" s="234"/>
      <c r="G160" s="234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234"/>
      <c r="F161" s="234"/>
      <c r="G161" s="234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234"/>
      <c r="F162" s="234"/>
      <c r="G162" s="234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234"/>
      <c r="F163" s="234"/>
      <c r="G163" s="234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234"/>
      <c r="F164" s="234"/>
      <c r="G164" s="234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234"/>
      <c r="F165" s="234"/>
      <c r="G165" s="234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234"/>
      <c r="F166" s="234"/>
      <c r="G166" s="234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234"/>
      <c r="F167" s="234"/>
      <c r="G167" s="234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234"/>
      <c r="F168" s="234"/>
      <c r="G168" s="234"/>
      <c r="H168" s="66" t="str">
        <f>VLOOKUP(A168,'Tot KPA'!A:H,8,0)</f>
        <v>Other expenditure</v>
      </c>
      <c r="I168" s="66">
        <f>VLOOKUP(A168,'Tot KPA'!A:I,9,0)</f>
        <v>0</v>
      </c>
    </row>
    <row r="169" spans="1:9" x14ac:dyDescent="0.35">
      <c r="A169" s="66" t="s">
        <v>2978</v>
      </c>
      <c r="B169" s="89">
        <v>7000</v>
      </c>
      <c r="C169" s="89">
        <v>7000</v>
      </c>
      <c r="D169" s="235">
        <v>6200</v>
      </c>
      <c r="E169" s="235">
        <v>7000</v>
      </c>
      <c r="F169" s="235">
        <v>8000</v>
      </c>
      <c r="G169" s="235">
        <v>9000</v>
      </c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89"/>
      <c r="E170" s="235"/>
      <c r="F170" s="235"/>
      <c r="G170" s="235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235"/>
      <c r="F171" s="235"/>
      <c r="G171" s="235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235"/>
      <c r="F172" s="235"/>
      <c r="G172" s="235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235"/>
      <c r="F173" s="235"/>
      <c r="G173" s="235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235"/>
      <c r="F174" s="235"/>
      <c r="G174" s="235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235"/>
      <c r="F175" s="235"/>
      <c r="G175" s="235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235"/>
      <c r="F176" s="235"/>
      <c r="G176" s="235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235"/>
      <c r="F177" s="235"/>
      <c r="G177" s="235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235"/>
      <c r="F178" s="235"/>
      <c r="G178" s="235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235"/>
      <c r="F179" s="235"/>
      <c r="G179" s="235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235"/>
      <c r="F180" s="235"/>
      <c r="G180" s="235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235"/>
      <c r="F181" s="235"/>
      <c r="G181" s="235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235"/>
      <c r="F182" s="235"/>
      <c r="G182" s="235"/>
      <c r="H182" s="66" t="str">
        <f>VLOOKUP(A182,'Tot KPA'!A:H,8,0)</f>
        <v>Other expenditure</v>
      </c>
      <c r="I182" s="66">
        <f>VLOOKUP(A182,'Tot KPA'!A:I,9,0)</f>
        <v>0</v>
      </c>
    </row>
    <row r="183" spans="1:9" hidden="1" x14ac:dyDescent="0.35">
      <c r="A183" s="66" t="s">
        <v>2901</v>
      </c>
      <c r="B183" s="89"/>
      <c r="C183" s="89"/>
      <c r="D183" s="89"/>
      <c r="E183" s="235"/>
      <c r="F183" s="235"/>
      <c r="G183" s="235"/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hidden="1" x14ac:dyDescent="0.35">
      <c r="A184" s="66" t="s">
        <v>2902</v>
      </c>
      <c r="B184" s="89"/>
      <c r="C184" s="89"/>
      <c r="D184" s="89"/>
      <c r="E184" s="235"/>
      <c r="F184" s="235"/>
      <c r="G184" s="235"/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hidden="1" x14ac:dyDescent="0.35">
      <c r="A185" s="66" t="s">
        <v>2903</v>
      </c>
      <c r="B185" s="89"/>
      <c r="C185" s="89"/>
      <c r="D185" s="89"/>
      <c r="E185" s="235"/>
      <c r="F185" s="235"/>
      <c r="G185" s="235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/>
      <c r="C186" s="89"/>
      <c r="D186" s="89"/>
      <c r="E186" s="235"/>
      <c r="F186" s="235"/>
      <c r="G186" s="235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89"/>
      <c r="E187" s="235"/>
      <c r="F187" s="235"/>
      <c r="G187" s="235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89"/>
      <c r="E188" s="235"/>
      <c r="F188" s="235"/>
      <c r="G188" s="235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89"/>
      <c r="E189" s="235"/>
      <c r="F189" s="235"/>
      <c r="G189" s="235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89"/>
      <c r="E190" s="235"/>
      <c r="F190" s="235"/>
      <c r="G190" s="235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/>
      <c r="C191" s="89"/>
      <c r="D191" s="89"/>
      <c r="E191" s="235"/>
      <c r="F191" s="235"/>
      <c r="G191" s="235"/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89"/>
      <c r="E192" s="235"/>
      <c r="F192" s="235"/>
      <c r="G192" s="235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hidden="1" x14ac:dyDescent="0.35">
      <c r="A193" s="66" t="s">
        <v>2906</v>
      </c>
      <c r="B193" s="89"/>
      <c r="C193" s="89"/>
      <c r="D193" s="89"/>
      <c r="E193" s="235"/>
      <c r="F193" s="235"/>
      <c r="G193" s="235"/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89"/>
      <c r="E194" s="235"/>
      <c r="F194" s="235"/>
      <c r="G194" s="235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89"/>
      <c r="E195" s="235"/>
      <c r="F195" s="235"/>
      <c r="G195" s="235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89"/>
      <c r="E196" s="235"/>
      <c r="F196" s="235"/>
      <c r="G196" s="235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89"/>
      <c r="E197" s="235"/>
      <c r="F197" s="235"/>
      <c r="G197" s="235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hidden="1" x14ac:dyDescent="0.35">
      <c r="A198" s="66" t="s">
        <v>2910</v>
      </c>
      <c r="B198" s="89"/>
      <c r="C198" s="89"/>
      <c r="D198" s="89"/>
      <c r="E198" s="235"/>
      <c r="F198" s="235"/>
      <c r="G198" s="235"/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235"/>
      <c r="F199" s="235"/>
      <c r="G199" s="235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235"/>
      <c r="F200" s="235"/>
      <c r="G200" s="235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235"/>
      <c r="F201" s="235"/>
      <c r="G201" s="235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235"/>
      <c r="F202" s="235"/>
      <c r="G202" s="235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235"/>
      <c r="F203" s="235"/>
      <c r="G203" s="235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235"/>
      <c r="F204" s="235"/>
      <c r="G204" s="235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235"/>
      <c r="F205" s="235"/>
      <c r="G205" s="235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235"/>
      <c r="F206" s="235"/>
      <c r="G206" s="235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235"/>
      <c r="F207" s="235"/>
      <c r="G207" s="235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235"/>
      <c r="F208" s="235"/>
      <c r="G208" s="235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235"/>
      <c r="F209" s="235"/>
      <c r="G209" s="235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235"/>
      <c r="F210" s="235"/>
      <c r="G210" s="235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235"/>
      <c r="F211" s="235"/>
      <c r="G211" s="235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235"/>
      <c r="F212" s="235"/>
      <c r="G212" s="235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235"/>
      <c r="F213" s="235"/>
      <c r="G213" s="235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235"/>
      <c r="F214" s="235"/>
      <c r="G214" s="235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235"/>
      <c r="F215" s="235"/>
      <c r="G215" s="235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235"/>
      <c r="F216" s="235"/>
      <c r="G216" s="235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235"/>
      <c r="F217" s="235"/>
      <c r="G217" s="235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235"/>
      <c r="F218" s="235"/>
      <c r="G218" s="235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235"/>
      <c r="F219" s="235"/>
      <c r="G219" s="235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235"/>
      <c r="F220" s="235"/>
      <c r="G220" s="235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235"/>
      <c r="F221" s="235"/>
      <c r="G221" s="235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235"/>
      <c r="F222" s="235"/>
      <c r="G222" s="235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235"/>
      <c r="F223" s="235"/>
      <c r="G223" s="235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235"/>
      <c r="F224" s="235"/>
      <c r="G224" s="235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235"/>
      <c r="F225" s="235"/>
      <c r="G225" s="235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235"/>
      <c r="F226" s="235"/>
      <c r="G226" s="235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x14ac:dyDescent="0.35">
      <c r="A227" s="66" t="s">
        <v>3035</v>
      </c>
      <c r="B227" s="89">
        <v>1500</v>
      </c>
      <c r="C227" s="89">
        <v>1500</v>
      </c>
      <c r="D227" s="235">
        <v>0</v>
      </c>
      <c r="E227" s="235">
        <v>1500</v>
      </c>
      <c r="F227" s="235">
        <v>1700</v>
      </c>
      <c r="G227" s="235">
        <v>1900</v>
      </c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4"/>
      <c r="F228" s="234"/>
      <c r="G228" s="234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234"/>
      <c r="F229" s="234"/>
      <c r="G229" s="234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234"/>
      <c r="F230" s="234"/>
      <c r="G230" s="234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234"/>
      <c r="F231" s="234"/>
      <c r="G231" s="234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x14ac:dyDescent="0.35">
      <c r="A232" s="66" t="s">
        <v>3036</v>
      </c>
      <c r="B232" s="89">
        <v>50000</v>
      </c>
      <c r="C232" s="89">
        <f>50000-50000</f>
        <v>0</v>
      </c>
      <c r="D232" s="235">
        <v>61298.06</v>
      </c>
      <c r="E232" s="235">
        <v>50000</v>
      </c>
      <c r="F232" s="235">
        <v>52300</v>
      </c>
      <c r="G232" s="235">
        <v>55200</v>
      </c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/>
      <c r="C272" s="89"/>
      <c r="D272" s="89"/>
      <c r="E272" s="89"/>
      <c r="F272" s="89"/>
      <c r="G272" s="89"/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>
        <v>0</v>
      </c>
      <c r="C273" s="89">
        <v>0</v>
      </c>
      <c r="D273" s="89"/>
      <c r="E273" s="89">
        <v>0</v>
      </c>
      <c r="F273" s="89">
        <v>0</v>
      </c>
      <c r="G273" s="89">
        <v>0</v>
      </c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0</v>
      </c>
      <c r="C274" s="89">
        <v>0</v>
      </c>
      <c r="D274" s="89"/>
      <c r="E274" s="89">
        <v>0</v>
      </c>
      <c r="F274" s="89">
        <v>0</v>
      </c>
      <c r="G274" s="89">
        <v>0</v>
      </c>
      <c r="H274" s="66" t="str">
        <f>VLOOKUP(A274,'Tot KPA'!A:H,8,0)</f>
        <v>Other Materials</v>
      </c>
      <c r="I274" s="66">
        <f>VLOOKUP(A274,'Tot KPA'!A:I,9,0)</f>
        <v>0</v>
      </c>
    </row>
    <row r="275" spans="1:9" x14ac:dyDescent="0.35">
      <c r="A275" s="66" t="s">
        <v>3476</v>
      </c>
      <c r="B275" s="89">
        <v>17700</v>
      </c>
      <c r="C275" s="89">
        <v>17700</v>
      </c>
      <c r="D275" s="235">
        <v>17500</v>
      </c>
      <c r="E275" s="235">
        <v>17700</v>
      </c>
      <c r="F275" s="235">
        <v>18700</v>
      </c>
      <c r="G275" s="235">
        <v>19800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235"/>
      <c r="E276" s="235"/>
      <c r="F276" s="235"/>
      <c r="G276" s="235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0</v>
      </c>
      <c r="C277" s="89">
        <v>0</v>
      </c>
      <c r="D277" s="235">
        <v>0</v>
      </c>
      <c r="E277" s="235">
        <v>0</v>
      </c>
      <c r="F277" s="235">
        <v>0</v>
      </c>
      <c r="G277" s="235">
        <v>0</v>
      </c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>
        <v>0</v>
      </c>
      <c r="D278" s="235">
        <v>0</v>
      </c>
      <c r="E278" s="235">
        <v>0</v>
      </c>
      <c r="F278" s="235">
        <v>0</v>
      </c>
      <c r="G278" s="235">
        <v>0</v>
      </c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>
        <v>0</v>
      </c>
      <c r="D279" s="235">
        <v>0</v>
      </c>
      <c r="E279" s="235">
        <v>0</v>
      </c>
      <c r="F279" s="235">
        <v>0</v>
      </c>
      <c r="G279" s="235">
        <v>0</v>
      </c>
      <c r="H279" s="66" t="str">
        <f>VLOOKUP(A279,'Tot KPA'!A:H,8,0)</f>
        <v>Other expenditure</v>
      </c>
      <c r="I279" s="66">
        <f>VLOOKUP(A279,'Tot KPA'!A:I,9,0)</f>
        <v>0</v>
      </c>
    </row>
    <row r="280" spans="1:9" x14ac:dyDescent="0.35">
      <c r="A280" s="66" t="s">
        <v>3447</v>
      </c>
      <c r="B280" s="89">
        <v>64800</v>
      </c>
      <c r="C280" s="89">
        <v>64800</v>
      </c>
      <c r="D280" s="235">
        <v>66917.8</v>
      </c>
      <c r="E280" s="235">
        <v>64800</v>
      </c>
      <c r="F280" s="235">
        <v>78900</v>
      </c>
      <c r="G280" s="235">
        <v>83200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>
        <v>0</v>
      </c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236600</v>
      </c>
      <c r="C290" s="112">
        <f t="shared" si="1"/>
        <v>186600</v>
      </c>
      <c r="D290" s="112">
        <f t="shared" si="1"/>
        <v>247231.08999999997</v>
      </c>
      <c r="E290" s="112">
        <f t="shared" si="1"/>
        <v>166600</v>
      </c>
      <c r="F290" s="112">
        <f t="shared" si="1"/>
        <v>186600</v>
      </c>
      <c r="G290" s="112">
        <f t="shared" si="1"/>
        <v>197600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212200</v>
      </c>
      <c r="C292" s="112">
        <f t="shared" si="2"/>
        <v>162200</v>
      </c>
      <c r="D292" s="112">
        <f t="shared" si="2"/>
        <v>225031.08999999997</v>
      </c>
      <c r="E292" s="112">
        <f t="shared" si="2"/>
        <v>142200</v>
      </c>
      <c r="F292" s="112">
        <f t="shared" si="2"/>
        <v>160200</v>
      </c>
      <c r="G292" s="112">
        <f t="shared" si="2"/>
        <v>169200</v>
      </c>
    </row>
    <row r="293" spans="1:7" ht="15" thickTop="1" x14ac:dyDescent="0.35"/>
  </sheetData>
  <sortState xmlns:xlrd2="http://schemas.microsoft.com/office/spreadsheetml/2017/richdata2" ref="A125:I288">
    <sortCondition ref="A125:A288"/>
  </sortState>
  <pageMargins left="0.7" right="0.7" top="0.75" bottom="0.75" header="0.3" footer="0.3"/>
  <pageSetup scale="1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3"/>
    <pageSetUpPr fitToPage="1"/>
  </sheetPr>
  <dimension ref="A1:I293"/>
  <sheetViews>
    <sheetView zoomScale="69" zoomScaleNormal="69" workbookViewId="0">
      <selection activeCell="A139" sqref="A139:XFD139"/>
    </sheetView>
  </sheetViews>
  <sheetFormatPr defaultColWidth="9.1796875" defaultRowHeight="14.5" x14ac:dyDescent="0.35"/>
  <cols>
    <col min="1" max="1" width="61.36328125" style="113" customWidth="1"/>
    <col min="2" max="2" width="17.453125" style="113" customWidth="1"/>
    <col min="3" max="3" width="17" style="113" customWidth="1"/>
    <col min="4" max="4" width="15.54296875" style="111" customWidth="1"/>
    <col min="5" max="5" width="15.7265625" style="113" customWidth="1"/>
    <col min="6" max="7" width="15.81640625" style="113" customWidth="1"/>
    <col min="8" max="8" width="36.54296875" style="30" customWidth="1"/>
    <col min="9" max="9" width="31.26953125" style="30" customWidth="1"/>
    <col min="10" max="16384" width="9.1796875" style="113"/>
  </cols>
  <sheetData>
    <row r="1" spans="1:9" ht="15" thickBot="1" x14ac:dyDescent="0.4">
      <c r="F1" s="118">
        <v>11</v>
      </c>
      <c r="G1" s="118"/>
    </row>
    <row r="2" spans="1:9" ht="29.5" thickBot="1" x14ac:dyDescent="0.4">
      <c r="A2" s="120" t="s">
        <v>2809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15" t="s">
        <v>3437</v>
      </c>
      <c r="G2" s="115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  <c r="H3" s="113"/>
      <c r="I3" s="113"/>
    </row>
    <row r="4" spans="1:9" x14ac:dyDescent="0.35">
      <c r="A4" s="126" t="s">
        <v>2688</v>
      </c>
      <c r="B4" s="111"/>
      <c r="C4" s="114"/>
      <c r="E4" s="111"/>
      <c r="F4" s="116"/>
      <c r="G4" s="116"/>
      <c r="H4" s="113"/>
      <c r="I4" s="113"/>
    </row>
    <row r="5" spans="1:9" x14ac:dyDescent="0.35">
      <c r="A5" s="126"/>
      <c r="B5" s="111"/>
      <c r="C5" s="114"/>
      <c r="E5" s="111"/>
      <c r="F5" s="116"/>
      <c r="G5" s="116"/>
      <c r="H5" s="113"/>
      <c r="I5" s="113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>
        <v>0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>
        <v>0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>
        <v>0</v>
      </c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>
        <v>0</v>
      </c>
      <c r="C52" s="89">
        <v>0</v>
      </c>
      <c r="D52" s="89">
        <v>0</v>
      </c>
      <c r="E52" s="89">
        <v>0</v>
      </c>
      <c r="F52" s="89">
        <v>0</v>
      </c>
      <c r="G52" s="89">
        <v>0</v>
      </c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>
        <v>0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>
        <v>0</v>
      </c>
      <c r="C54" s="89">
        <v>0</v>
      </c>
      <c r="D54" s="89">
        <v>0</v>
      </c>
      <c r="E54" s="89">
        <v>0</v>
      </c>
      <c r="F54" s="89">
        <v>0</v>
      </c>
      <c r="G54" s="89">
        <v>0</v>
      </c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>
        <v>0</v>
      </c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>
        <v>0</v>
      </c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>
        <v>0</v>
      </c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>
        <v>0</v>
      </c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>
        <v>0</v>
      </c>
      <c r="C59" s="89">
        <v>0</v>
      </c>
      <c r="D59" s="89">
        <v>0</v>
      </c>
      <c r="E59" s="89">
        <v>0</v>
      </c>
      <c r="F59" s="89">
        <v>0</v>
      </c>
      <c r="G59" s="89">
        <v>0</v>
      </c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>
        <v>0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>
        <v>0</v>
      </c>
      <c r="C61" s="89">
        <v>0</v>
      </c>
      <c r="D61" s="89">
        <v>0</v>
      </c>
      <c r="E61" s="89">
        <v>0</v>
      </c>
      <c r="F61" s="89">
        <v>0</v>
      </c>
      <c r="G61" s="89">
        <v>0</v>
      </c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>
        <v>0</v>
      </c>
      <c r="C62" s="89">
        <v>0</v>
      </c>
      <c r="D62" s="89">
        <v>0</v>
      </c>
      <c r="E62" s="89">
        <v>0</v>
      </c>
      <c r="F62" s="89">
        <v>0</v>
      </c>
      <c r="G62" s="89">
        <v>0</v>
      </c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>
        <v>0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>
        <v>0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>
        <v>0</v>
      </c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>
        <v>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>
        <v>0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>
        <v>0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>
        <v>0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>
        <v>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>
        <v>0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>
        <v>0</v>
      </c>
      <c r="C79" s="89">
        <v>0</v>
      </c>
      <c r="D79" s="89">
        <v>0</v>
      </c>
      <c r="E79" s="89">
        <v>0</v>
      </c>
      <c r="F79" s="89">
        <v>0</v>
      </c>
      <c r="G79" s="89">
        <v>0</v>
      </c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>
        <v>0</v>
      </c>
      <c r="C80" s="89">
        <v>0</v>
      </c>
      <c r="D80" s="89">
        <v>0</v>
      </c>
      <c r="E80" s="89">
        <v>0</v>
      </c>
      <c r="F80" s="89">
        <v>0</v>
      </c>
      <c r="G80" s="89">
        <v>0</v>
      </c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>
        <v>0</v>
      </c>
      <c r="C81" s="89">
        <v>0</v>
      </c>
      <c r="D81" s="89">
        <v>0</v>
      </c>
      <c r="E81" s="89">
        <v>0</v>
      </c>
      <c r="F81" s="89">
        <v>0</v>
      </c>
      <c r="G81" s="89">
        <v>0</v>
      </c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>
        <v>0</v>
      </c>
      <c r="C82" s="89">
        <v>0</v>
      </c>
      <c r="D82" s="89">
        <v>0</v>
      </c>
      <c r="E82" s="89">
        <v>0</v>
      </c>
      <c r="F82" s="89">
        <v>0</v>
      </c>
      <c r="G82" s="89">
        <v>0</v>
      </c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>
        <v>0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>
        <v>0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>
        <v>0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66" t="str">
        <f>VLOOKUP(A92,'Tot KPA'!A:H,8,0)</f>
        <v>Other revenue</v>
      </c>
      <c r="I92" s="66">
        <f>VLOOKUP(A92,'Tot KPA'!A:I,9,0)</f>
        <v>0</v>
      </c>
    </row>
    <row r="93" spans="1:9" x14ac:dyDescent="0.35">
      <c r="A93" s="66" t="s">
        <v>2898</v>
      </c>
      <c r="B93" s="89">
        <v>-10100</v>
      </c>
      <c r="C93" s="89">
        <v>-10100</v>
      </c>
      <c r="D93" s="89">
        <v>-5400</v>
      </c>
      <c r="E93" s="235">
        <v>-7000</v>
      </c>
      <c r="F93" s="235">
        <v>-7300</v>
      </c>
      <c r="G93" s="235">
        <v>-7700</v>
      </c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>
        <v>0</v>
      </c>
      <c r="D95" s="89">
        <v>0</v>
      </c>
      <c r="E95" s="89">
        <v>0</v>
      </c>
      <c r="F95" s="89">
        <v>0</v>
      </c>
      <c r="G95" s="89">
        <v>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>
        <v>0</v>
      </c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0" spans="1:9" x14ac:dyDescent="0.35">
      <c r="H120" s="113"/>
      <c r="I120" s="113"/>
    </row>
    <row r="121" spans="1:9" ht="15" thickBot="1" x14ac:dyDescent="0.4">
      <c r="A121" s="117" t="s">
        <v>2545</v>
      </c>
      <c r="B121" s="112">
        <f t="shared" ref="B121:G121" si="0">SUM(B2:B119)</f>
        <v>-10100</v>
      </c>
      <c r="C121" s="112">
        <f t="shared" si="0"/>
        <v>-10100</v>
      </c>
      <c r="D121" s="112">
        <f t="shared" si="0"/>
        <v>-5400</v>
      </c>
      <c r="E121" s="112">
        <f t="shared" si="0"/>
        <v>-7000</v>
      </c>
      <c r="F121" s="112">
        <f t="shared" si="0"/>
        <v>-7300</v>
      </c>
      <c r="G121" s="112">
        <f t="shared" si="0"/>
        <v>-7700</v>
      </c>
      <c r="H121" s="113"/>
      <c r="I121" s="113"/>
    </row>
    <row r="122" spans="1:9" ht="15" thickTop="1" x14ac:dyDescent="0.35">
      <c r="H122" s="113"/>
      <c r="I122" s="113"/>
    </row>
    <row r="123" spans="1:9" x14ac:dyDescent="0.35">
      <c r="A123" s="126" t="s">
        <v>2689</v>
      </c>
      <c r="H123" s="113"/>
      <c r="I123" s="113"/>
    </row>
    <row r="124" spans="1:9" x14ac:dyDescent="0.35">
      <c r="A124" s="126"/>
      <c r="H124" s="113"/>
      <c r="I124" s="113"/>
    </row>
    <row r="125" spans="1:9" hidden="1" x14ac:dyDescent="0.35">
      <c r="A125" s="66" t="s">
        <v>3438</v>
      </c>
      <c r="B125" s="89">
        <v>0</v>
      </c>
      <c r="C125" s="89">
        <v>0</v>
      </c>
      <c r="D125" s="89">
        <v>0</v>
      </c>
      <c r="E125" s="89">
        <v>0</v>
      </c>
      <c r="F125" s="89">
        <v>0</v>
      </c>
      <c r="G125" s="89">
        <v>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>
        <v>0</v>
      </c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>
        <v>0</v>
      </c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>
        <v>0</v>
      </c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>
        <v>0</v>
      </c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>
        <v>0</v>
      </c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>
        <v>0</v>
      </c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>
        <v>0</v>
      </c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0</v>
      </c>
      <c r="C135" s="89">
        <v>0</v>
      </c>
      <c r="D135" s="89">
        <v>0</v>
      </c>
      <c r="E135" s="89">
        <v>0</v>
      </c>
      <c r="F135" s="89">
        <v>0</v>
      </c>
      <c r="G135" s="89">
        <v>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>
        <v>0</v>
      </c>
      <c r="C136" s="89">
        <v>0</v>
      </c>
      <c r="D136" s="89">
        <v>0</v>
      </c>
      <c r="E136" s="89">
        <v>0</v>
      </c>
      <c r="F136" s="89">
        <v>0</v>
      </c>
      <c r="G136" s="89">
        <v>0</v>
      </c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>
        <v>0</v>
      </c>
      <c r="C137" s="89">
        <v>0</v>
      </c>
      <c r="D137" s="89">
        <v>0</v>
      </c>
      <c r="E137" s="89">
        <v>0</v>
      </c>
      <c r="F137" s="89">
        <v>0</v>
      </c>
      <c r="G137" s="89">
        <v>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0</v>
      </c>
      <c r="C138" s="89">
        <v>0</v>
      </c>
      <c r="D138" s="89">
        <v>0</v>
      </c>
      <c r="E138" s="89">
        <v>0</v>
      </c>
      <c r="F138" s="89">
        <v>0</v>
      </c>
      <c r="G138" s="89">
        <v>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0</v>
      </c>
      <c r="C140" s="89">
        <v>0</v>
      </c>
      <c r="D140" s="89">
        <v>0</v>
      </c>
      <c r="E140" s="89">
        <v>0</v>
      </c>
      <c r="F140" s="89">
        <v>0</v>
      </c>
      <c r="G140" s="89">
        <v>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>
        <v>0</v>
      </c>
      <c r="D141" s="89">
        <v>0</v>
      </c>
      <c r="E141" s="89">
        <v>0</v>
      </c>
      <c r="F141" s="89">
        <v>0</v>
      </c>
      <c r="G141" s="89">
        <v>0</v>
      </c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>
        <v>0</v>
      </c>
      <c r="D142" s="89">
        <v>0</v>
      </c>
      <c r="E142" s="89">
        <v>0</v>
      </c>
      <c r="F142" s="89">
        <v>0</v>
      </c>
      <c r="G142" s="89">
        <v>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89">
        <v>0</v>
      </c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>
        <v>0</v>
      </c>
      <c r="C144" s="89">
        <v>0</v>
      </c>
      <c r="D144" s="89">
        <v>0</v>
      </c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>
        <v>0</v>
      </c>
      <c r="D145" s="89">
        <v>0</v>
      </c>
      <c r="E145" s="89">
        <v>0</v>
      </c>
      <c r="F145" s="89">
        <v>0</v>
      </c>
      <c r="G145" s="89">
        <v>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>
        <v>0</v>
      </c>
      <c r="D146" s="89">
        <v>0</v>
      </c>
      <c r="E146" s="89">
        <v>0</v>
      </c>
      <c r="F146" s="89">
        <v>0</v>
      </c>
      <c r="G146" s="89">
        <v>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>
        <v>0</v>
      </c>
      <c r="D147" s="89">
        <v>0</v>
      </c>
      <c r="E147" s="89">
        <v>0</v>
      </c>
      <c r="F147" s="89">
        <v>0</v>
      </c>
      <c r="G147" s="89">
        <v>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>
        <v>0</v>
      </c>
      <c r="D148" s="89">
        <v>0</v>
      </c>
      <c r="E148" s="89">
        <v>0</v>
      </c>
      <c r="F148" s="89">
        <v>0</v>
      </c>
      <c r="G148" s="89">
        <v>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>
        <v>0</v>
      </c>
      <c r="D149" s="89">
        <v>0</v>
      </c>
      <c r="E149" s="89">
        <v>0</v>
      </c>
      <c r="F149" s="89">
        <v>0</v>
      </c>
      <c r="G149" s="89">
        <v>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>
        <v>0</v>
      </c>
      <c r="D150" s="89">
        <v>0</v>
      </c>
      <c r="E150" s="89">
        <v>0</v>
      </c>
      <c r="F150" s="89">
        <v>0</v>
      </c>
      <c r="G150" s="89">
        <v>0</v>
      </c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>
        <v>0</v>
      </c>
      <c r="D151" s="89">
        <v>0</v>
      </c>
      <c r="E151" s="89">
        <v>0</v>
      </c>
      <c r="F151" s="89">
        <v>0</v>
      </c>
      <c r="G151" s="89">
        <v>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>
        <v>0</v>
      </c>
      <c r="C152" s="89">
        <v>0</v>
      </c>
      <c r="D152" s="89">
        <v>0</v>
      </c>
      <c r="E152" s="89">
        <v>0</v>
      </c>
      <c r="F152" s="89">
        <v>0</v>
      </c>
      <c r="G152" s="89">
        <v>0</v>
      </c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0</v>
      </c>
      <c r="C153" s="89">
        <v>0</v>
      </c>
      <c r="D153" s="89">
        <v>0</v>
      </c>
      <c r="E153" s="89">
        <v>0</v>
      </c>
      <c r="F153" s="89">
        <v>0</v>
      </c>
      <c r="G153" s="89">
        <v>0</v>
      </c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>
        <v>0</v>
      </c>
      <c r="C154" s="89">
        <v>0</v>
      </c>
      <c r="D154" s="89">
        <v>0</v>
      </c>
      <c r="E154" s="89">
        <v>0</v>
      </c>
      <c r="F154" s="89">
        <v>0</v>
      </c>
      <c r="G154" s="89">
        <v>0</v>
      </c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>
        <v>0</v>
      </c>
      <c r="C155" s="89">
        <v>0</v>
      </c>
      <c r="D155" s="89">
        <v>0</v>
      </c>
      <c r="E155" s="89">
        <v>0</v>
      </c>
      <c r="F155" s="89">
        <v>0</v>
      </c>
      <c r="G155" s="89">
        <v>0</v>
      </c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>
        <v>0</v>
      </c>
      <c r="C156" s="89">
        <v>0</v>
      </c>
      <c r="D156" s="89">
        <v>0</v>
      </c>
      <c r="E156" s="89">
        <v>0</v>
      </c>
      <c r="F156" s="89">
        <v>0</v>
      </c>
      <c r="G156" s="89">
        <v>0</v>
      </c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>
        <v>0</v>
      </c>
      <c r="C157" s="89">
        <v>0</v>
      </c>
      <c r="D157" s="89">
        <v>0</v>
      </c>
      <c r="E157" s="89">
        <v>0</v>
      </c>
      <c r="F157" s="89">
        <v>0</v>
      </c>
      <c r="G157" s="89">
        <v>0</v>
      </c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>
        <v>0</v>
      </c>
      <c r="C158" s="89">
        <v>0</v>
      </c>
      <c r="D158" s="89">
        <v>0</v>
      </c>
      <c r="E158" s="89">
        <v>0</v>
      </c>
      <c r="F158" s="89">
        <v>0</v>
      </c>
      <c r="G158" s="89">
        <v>0</v>
      </c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>
        <v>0</v>
      </c>
      <c r="C159" s="89">
        <v>0</v>
      </c>
      <c r="D159" s="89">
        <v>0</v>
      </c>
      <c r="E159" s="89">
        <v>0</v>
      </c>
      <c r="F159" s="89">
        <v>0</v>
      </c>
      <c r="G159" s="89">
        <v>0</v>
      </c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>
        <v>0</v>
      </c>
      <c r="C160" s="89">
        <v>0</v>
      </c>
      <c r="D160" s="89">
        <v>0</v>
      </c>
      <c r="E160" s="89">
        <v>0</v>
      </c>
      <c r="F160" s="89">
        <v>0</v>
      </c>
      <c r="G160" s="89">
        <v>0</v>
      </c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>
        <v>0</v>
      </c>
      <c r="C161" s="89">
        <v>0</v>
      </c>
      <c r="D161" s="89">
        <v>0</v>
      </c>
      <c r="E161" s="89">
        <v>0</v>
      </c>
      <c r="F161" s="89">
        <v>0</v>
      </c>
      <c r="G161" s="89">
        <v>0</v>
      </c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>
        <v>0</v>
      </c>
      <c r="C162" s="89">
        <v>0</v>
      </c>
      <c r="D162" s="89">
        <v>0</v>
      </c>
      <c r="E162" s="89">
        <v>0</v>
      </c>
      <c r="F162" s="89">
        <v>0</v>
      </c>
      <c r="G162" s="89">
        <v>0</v>
      </c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>
        <v>0</v>
      </c>
      <c r="C163" s="89">
        <v>0</v>
      </c>
      <c r="D163" s="89">
        <v>0</v>
      </c>
      <c r="E163" s="89">
        <v>0</v>
      </c>
      <c r="F163" s="89">
        <v>0</v>
      </c>
      <c r="G163" s="89">
        <v>0</v>
      </c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>
        <v>0</v>
      </c>
      <c r="C164" s="89">
        <v>0</v>
      </c>
      <c r="D164" s="89">
        <v>0</v>
      </c>
      <c r="E164" s="89">
        <v>0</v>
      </c>
      <c r="F164" s="89">
        <v>0</v>
      </c>
      <c r="G164" s="89">
        <v>0</v>
      </c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>
        <v>0</v>
      </c>
      <c r="C165" s="89">
        <v>0</v>
      </c>
      <c r="D165" s="89">
        <v>0</v>
      </c>
      <c r="E165" s="89">
        <v>0</v>
      </c>
      <c r="F165" s="89">
        <v>0</v>
      </c>
      <c r="G165" s="89">
        <v>0</v>
      </c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>
        <v>0</v>
      </c>
      <c r="C166" s="89">
        <v>0</v>
      </c>
      <c r="D166" s="89">
        <v>0</v>
      </c>
      <c r="E166" s="89">
        <v>0</v>
      </c>
      <c r="F166" s="89">
        <v>0</v>
      </c>
      <c r="G166" s="89">
        <v>0</v>
      </c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>
        <v>0</v>
      </c>
      <c r="C167" s="89">
        <v>0</v>
      </c>
      <c r="D167" s="89">
        <v>0</v>
      </c>
      <c r="E167" s="89">
        <v>0</v>
      </c>
      <c r="F167" s="89">
        <v>0</v>
      </c>
      <c r="G167" s="89">
        <v>0</v>
      </c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>
        <v>0</v>
      </c>
      <c r="C168" s="89">
        <v>0</v>
      </c>
      <c r="D168" s="89">
        <v>0</v>
      </c>
      <c r="E168" s="89">
        <v>0</v>
      </c>
      <c r="F168" s="89">
        <v>0</v>
      </c>
      <c r="G168" s="89">
        <v>0</v>
      </c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>
        <v>0</v>
      </c>
      <c r="C169" s="89">
        <v>0</v>
      </c>
      <c r="D169" s="89">
        <v>0</v>
      </c>
      <c r="E169" s="89">
        <v>0</v>
      </c>
      <c r="F169" s="89">
        <v>0</v>
      </c>
      <c r="G169" s="89">
        <v>0</v>
      </c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>
        <v>0</v>
      </c>
      <c r="C170" s="89">
        <v>0</v>
      </c>
      <c r="D170" s="89">
        <v>0</v>
      </c>
      <c r="E170" s="89">
        <v>0</v>
      </c>
      <c r="F170" s="89">
        <v>0</v>
      </c>
      <c r="G170" s="89">
        <v>0</v>
      </c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>
        <v>0</v>
      </c>
      <c r="C171" s="89">
        <v>0</v>
      </c>
      <c r="D171" s="89">
        <v>0</v>
      </c>
      <c r="E171" s="89">
        <v>0</v>
      </c>
      <c r="F171" s="89">
        <v>0</v>
      </c>
      <c r="G171" s="89">
        <v>0</v>
      </c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>
        <v>0</v>
      </c>
      <c r="C173" s="89">
        <v>0</v>
      </c>
      <c r="D173" s="89">
        <v>0</v>
      </c>
      <c r="E173" s="89">
        <v>0</v>
      </c>
      <c r="F173" s="89">
        <v>0</v>
      </c>
      <c r="G173" s="89">
        <v>0</v>
      </c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>
        <v>0</v>
      </c>
      <c r="C175" s="89">
        <v>0</v>
      </c>
      <c r="D175" s="89">
        <v>0</v>
      </c>
      <c r="E175" s="89">
        <v>0</v>
      </c>
      <c r="F175" s="89">
        <v>0</v>
      </c>
      <c r="G175" s="89">
        <v>0</v>
      </c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>
        <v>0</v>
      </c>
      <c r="C176" s="89">
        <v>0</v>
      </c>
      <c r="D176" s="89">
        <v>0</v>
      </c>
      <c r="E176" s="89">
        <v>0</v>
      </c>
      <c r="F176" s="89">
        <v>0</v>
      </c>
      <c r="G176" s="89">
        <v>0</v>
      </c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>
        <v>0</v>
      </c>
      <c r="C178" s="89">
        <v>0</v>
      </c>
      <c r="D178" s="89">
        <v>0</v>
      </c>
      <c r="E178" s="89">
        <v>0</v>
      </c>
      <c r="F178" s="89">
        <v>0</v>
      </c>
      <c r="G178" s="89">
        <v>0</v>
      </c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>
        <v>0</v>
      </c>
      <c r="C179" s="89">
        <v>0</v>
      </c>
      <c r="D179" s="89">
        <v>0</v>
      </c>
      <c r="E179" s="89">
        <v>0</v>
      </c>
      <c r="F179" s="89">
        <v>0</v>
      </c>
      <c r="G179" s="89">
        <v>0</v>
      </c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>
        <v>0</v>
      </c>
      <c r="C180" s="89">
        <v>0</v>
      </c>
      <c r="D180" s="89">
        <v>0</v>
      </c>
      <c r="E180" s="89">
        <v>0</v>
      </c>
      <c r="F180" s="89">
        <v>0</v>
      </c>
      <c r="G180" s="89">
        <v>0</v>
      </c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>
        <v>0</v>
      </c>
      <c r="C181" s="89">
        <v>0</v>
      </c>
      <c r="D181" s="89">
        <v>0</v>
      </c>
      <c r="E181" s="89">
        <v>0</v>
      </c>
      <c r="F181" s="89">
        <v>0</v>
      </c>
      <c r="G181" s="89">
        <v>0</v>
      </c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>
        <v>0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66" t="str">
        <f>VLOOKUP(A182,'Tot KPA'!A:H,8,0)</f>
        <v>Other expenditure</v>
      </c>
      <c r="I182" s="66">
        <f>VLOOKUP(A182,'Tot KPA'!A:I,9,0)</f>
        <v>0</v>
      </c>
    </row>
    <row r="183" spans="1:9" hidden="1" x14ac:dyDescent="0.35">
      <c r="A183" s="66" t="s">
        <v>2901</v>
      </c>
      <c r="B183" s="89">
        <v>0</v>
      </c>
      <c r="C183" s="89">
        <v>0</v>
      </c>
      <c r="D183" s="89">
        <v>0</v>
      </c>
      <c r="E183" s="89">
        <v>0</v>
      </c>
      <c r="F183" s="89">
        <v>0</v>
      </c>
      <c r="G183" s="89">
        <v>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hidden="1" x14ac:dyDescent="0.35">
      <c r="A184" s="66" t="s">
        <v>2902</v>
      </c>
      <c r="B184" s="89">
        <v>0</v>
      </c>
      <c r="C184" s="89">
        <v>0</v>
      </c>
      <c r="D184" s="89">
        <v>0</v>
      </c>
      <c r="E184" s="89">
        <v>0</v>
      </c>
      <c r="F184" s="89">
        <v>0</v>
      </c>
      <c r="G184" s="89">
        <v>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hidden="1" x14ac:dyDescent="0.35">
      <c r="A185" s="66" t="s">
        <v>2903</v>
      </c>
      <c r="B185" s="89">
        <v>0</v>
      </c>
      <c r="C185" s="89">
        <v>0</v>
      </c>
      <c r="D185" s="89">
        <v>0</v>
      </c>
      <c r="E185" s="89">
        <v>0</v>
      </c>
      <c r="F185" s="89">
        <v>0</v>
      </c>
      <c r="G185" s="89">
        <v>0</v>
      </c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>
        <v>0</v>
      </c>
      <c r="C186" s="89">
        <v>0</v>
      </c>
      <c r="D186" s="89">
        <v>0</v>
      </c>
      <c r="E186" s="89">
        <v>0</v>
      </c>
      <c r="F186" s="89">
        <v>0</v>
      </c>
      <c r="G186" s="89">
        <v>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>
        <v>0</v>
      </c>
      <c r="C187" s="89">
        <v>0</v>
      </c>
      <c r="D187" s="89">
        <v>0</v>
      </c>
      <c r="E187" s="89">
        <v>0</v>
      </c>
      <c r="F187" s="89">
        <v>0</v>
      </c>
      <c r="G187" s="89">
        <v>0</v>
      </c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>
        <v>0</v>
      </c>
      <c r="C188" s="89">
        <v>0</v>
      </c>
      <c r="D188" s="89">
        <v>0</v>
      </c>
      <c r="E188" s="89">
        <v>0</v>
      </c>
      <c r="F188" s="89">
        <v>0</v>
      </c>
      <c r="G188" s="89">
        <v>0</v>
      </c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>
        <v>0</v>
      </c>
      <c r="C189" s="89">
        <v>0</v>
      </c>
      <c r="D189" s="89">
        <v>0</v>
      </c>
      <c r="E189" s="89">
        <v>0</v>
      </c>
      <c r="F189" s="89">
        <v>0</v>
      </c>
      <c r="G189" s="89">
        <v>0</v>
      </c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>
        <v>0</v>
      </c>
      <c r="C190" s="89">
        <v>0</v>
      </c>
      <c r="D190" s="89">
        <v>0</v>
      </c>
      <c r="E190" s="89">
        <v>0</v>
      </c>
      <c r="F190" s="89">
        <v>0</v>
      </c>
      <c r="G190" s="89">
        <v>0</v>
      </c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>
        <v>0</v>
      </c>
      <c r="C191" s="89">
        <v>0</v>
      </c>
      <c r="D191" s="89">
        <v>0</v>
      </c>
      <c r="E191" s="89">
        <v>0</v>
      </c>
      <c r="F191" s="89">
        <v>0</v>
      </c>
      <c r="G191" s="89">
        <v>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>
        <v>0</v>
      </c>
      <c r="C192" s="89">
        <v>0</v>
      </c>
      <c r="D192" s="89">
        <v>0</v>
      </c>
      <c r="E192" s="89">
        <v>0</v>
      </c>
      <c r="F192" s="89">
        <v>0</v>
      </c>
      <c r="G192" s="89">
        <v>0</v>
      </c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hidden="1" x14ac:dyDescent="0.35">
      <c r="A193" s="66" t="s">
        <v>2906</v>
      </c>
      <c r="B193" s="89">
        <v>0</v>
      </c>
      <c r="C193" s="89">
        <v>0</v>
      </c>
      <c r="D193" s="89">
        <v>0</v>
      </c>
      <c r="E193" s="89">
        <v>0</v>
      </c>
      <c r="F193" s="89">
        <v>0</v>
      </c>
      <c r="G193" s="89">
        <v>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>
        <v>0</v>
      </c>
      <c r="C194" s="89">
        <v>0</v>
      </c>
      <c r="D194" s="89">
        <v>0</v>
      </c>
      <c r="E194" s="89">
        <v>0</v>
      </c>
      <c r="F194" s="89">
        <v>0</v>
      </c>
      <c r="G194" s="89">
        <v>0</v>
      </c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>
        <v>0</v>
      </c>
      <c r="C195" s="89">
        <v>0</v>
      </c>
      <c r="D195" s="89">
        <v>0</v>
      </c>
      <c r="E195" s="89">
        <v>0</v>
      </c>
      <c r="F195" s="89">
        <v>0</v>
      </c>
      <c r="G195" s="89">
        <v>0</v>
      </c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>
        <v>0</v>
      </c>
      <c r="C196" s="89">
        <v>0</v>
      </c>
      <c r="D196" s="89">
        <v>0</v>
      </c>
      <c r="E196" s="89">
        <v>0</v>
      </c>
      <c r="F196" s="89">
        <v>0</v>
      </c>
      <c r="G196" s="89">
        <v>0</v>
      </c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>
        <v>0</v>
      </c>
      <c r="C197" s="89">
        <v>0</v>
      </c>
      <c r="D197" s="89">
        <v>0</v>
      </c>
      <c r="E197" s="89">
        <v>0</v>
      </c>
      <c r="F197" s="89">
        <v>0</v>
      </c>
      <c r="G197" s="89">
        <v>0</v>
      </c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hidden="1" x14ac:dyDescent="0.35">
      <c r="A198" s="66" t="s">
        <v>2910</v>
      </c>
      <c r="B198" s="89">
        <v>0</v>
      </c>
      <c r="C198" s="89">
        <v>0</v>
      </c>
      <c r="D198" s="89">
        <v>0</v>
      </c>
      <c r="E198" s="89">
        <v>0</v>
      </c>
      <c r="F198" s="89">
        <v>0</v>
      </c>
      <c r="G198" s="89">
        <v>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>
        <v>0</v>
      </c>
      <c r="C199" s="89">
        <v>0</v>
      </c>
      <c r="D199" s="89">
        <v>0</v>
      </c>
      <c r="E199" s="89">
        <v>0</v>
      </c>
      <c r="F199" s="89">
        <v>0</v>
      </c>
      <c r="G199" s="89">
        <v>0</v>
      </c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>
        <v>0</v>
      </c>
      <c r="C201" s="89">
        <v>0</v>
      </c>
      <c r="D201" s="89">
        <v>0</v>
      </c>
      <c r="E201" s="89">
        <v>0</v>
      </c>
      <c r="F201" s="89">
        <v>0</v>
      </c>
      <c r="G201" s="89">
        <v>0</v>
      </c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>
        <v>0</v>
      </c>
      <c r="C202" s="89">
        <v>0</v>
      </c>
      <c r="D202" s="89">
        <v>0</v>
      </c>
      <c r="E202" s="89">
        <v>0</v>
      </c>
      <c r="F202" s="89">
        <v>0</v>
      </c>
      <c r="G202" s="89">
        <v>0</v>
      </c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>
        <v>0</v>
      </c>
      <c r="C203" s="89">
        <v>0</v>
      </c>
      <c r="D203" s="89">
        <v>0</v>
      </c>
      <c r="E203" s="89">
        <v>0</v>
      </c>
      <c r="F203" s="89">
        <v>0</v>
      </c>
      <c r="G203" s="89">
        <v>0</v>
      </c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>
        <v>0</v>
      </c>
      <c r="C204" s="89">
        <v>0</v>
      </c>
      <c r="D204" s="89">
        <v>0</v>
      </c>
      <c r="E204" s="89">
        <v>0</v>
      </c>
      <c r="F204" s="89">
        <v>0</v>
      </c>
      <c r="G204" s="89">
        <v>0</v>
      </c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>
        <v>0</v>
      </c>
      <c r="C205" s="89">
        <v>0</v>
      </c>
      <c r="D205" s="89">
        <v>0</v>
      </c>
      <c r="E205" s="89">
        <v>0</v>
      </c>
      <c r="F205" s="89">
        <v>0</v>
      </c>
      <c r="G205" s="89">
        <v>0</v>
      </c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>
        <v>0</v>
      </c>
      <c r="C206" s="89">
        <v>0</v>
      </c>
      <c r="D206" s="89">
        <v>0</v>
      </c>
      <c r="E206" s="89">
        <v>0</v>
      </c>
      <c r="F206" s="89">
        <v>0</v>
      </c>
      <c r="G206" s="89">
        <v>0</v>
      </c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>
        <v>0</v>
      </c>
      <c r="C207" s="89">
        <v>0</v>
      </c>
      <c r="D207" s="89">
        <v>0</v>
      </c>
      <c r="E207" s="89">
        <v>0</v>
      </c>
      <c r="F207" s="89">
        <v>0</v>
      </c>
      <c r="G207" s="89">
        <v>0</v>
      </c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>
        <v>0</v>
      </c>
      <c r="C208" s="89">
        <v>0</v>
      </c>
      <c r="D208" s="89">
        <v>0</v>
      </c>
      <c r="E208" s="89">
        <v>0</v>
      </c>
      <c r="F208" s="89">
        <v>0</v>
      </c>
      <c r="G208" s="89">
        <v>0</v>
      </c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>
        <v>0</v>
      </c>
      <c r="C209" s="89">
        <v>0</v>
      </c>
      <c r="D209" s="89">
        <v>0</v>
      </c>
      <c r="E209" s="89">
        <v>0</v>
      </c>
      <c r="F209" s="89">
        <v>0</v>
      </c>
      <c r="G209" s="89">
        <v>0</v>
      </c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>
        <v>0</v>
      </c>
      <c r="C210" s="89">
        <v>0</v>
      </c>
      <c r="D210" s="89">
        <v>0</v>
      </c>
      <c r="E210" s="89">
        <v>0</v>
      </c>
      <c r="F210" s="89">
        <v>0</v>
      </c>
      <c r="G210" s="89">
        <v>0</v>
      </c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>
        <v>0</v>
      </c>
      <c r="C211" s="89">
        <v>0</v>
      </c>
      <c r="D211" s="89">
        <v>0</v>
      </c>
      <c r="E211" s="89">
        <v>0</v>
      </c>
      <c r="F211" s="89">
        <v>0</v>
      </c>
      <c r="G211" s="89">
        <v>0</v>
      </c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>
        <v>0</v>
      </c>
      <c r="C212" s="89">
        <v>0</v>
      </c>
      <c r="D212" s="89">
        <v>0</v>
      </c>
      <c r="E212" s="89">
        <v>0</v>
      </c>
      <c r="F212" s="89">
        <v>0</v>
      </c>
      <c r="G212" s="89">
        <v>0</v>
      </c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>
        <v>0</v>
      </c>
      <c r="C213" s="89">
        <v>0</v>
      </c>
      <c r="D213" s="89">
        <v>0</v>
      </c>
      <c r="E213" s="89">
        <v>0</v>
      </c>
      <c r="F213" s="89">
        <v>0</v>
      </c>
      <c r="G213" s="89">
        <v>0</v>
      </c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v>0</v>
      </c>
      <c r="C214" s="89">
        <v>0</v>
      </c>
      <c r="D214" s="89">
        <v>0</v>
      </c>
      <c r="E214" s="89">
        <v>0</v>
      </c>
      <c r="F214" s="89">
        <v>0</v>
      </c>
      <c r="G214" s="89">
        <v>0</v>
      </c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>
        <v>0</v>
      </c>
      <c r="C216" s="89">
        <v>0</v>
      </c>
      <c r="D216" s="89">
        <v>0</v>
      </c>
      <c r="E216" s="89">
        <v>0</v>
      </c>
      <c r="F216" s="89">
        <v>0</v>
      </c>
      <c r="G216" s="89">
        <v>0</v>
      </c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>
        <v>0</v>
      </c>
      <c r="C217" s="89">
        <v>0</v>
      </c>
      <c r="D217" s="89">
        <v>0</v>
      </c>
      <c r="E217" s="89">
        <v>0</v>
      </c>
      <c r="F217" s="89">
        <v>0</v>
      </c>
      <c r="G217" s="89">
        <v>0</v>
      </c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>
        <v>0</v>
      </c>
      <c r="C218" s="89">
        <v>0</v>
      </c>
      <c r="D218" s="89">
        <v>0</v>
      </c>
      <c r="E218" s="89">
        <v>0</v>
      </c>
      <c r="F218" s="89">
        <v>0</v>
      </c>
      <c r="G218" s="89">
        <v>0</v>
      </c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>
        <v>0</v>
      </c>
      <c r="C219" s="89">
        <v>0</v>
      </c>
      <c r="D219" s="89">
        <v>0</v>
      </c>
      <c r="E219" s="89">
        <v>0</v>
      </c>
      <c r="F219" s="89">
        <v>0</v>
      </c>
      <c r="G219" s="89">
        <v>0</v>
      </c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>
        <v>0</v>
      </c>
      <c r="C220" s="89">
        <v>0</v>
      </c>
      <c r="D220" s="89">
        <v>0</v>
      </c>
      <c r="E220" s="89">
        <v>0</v>
      </c>
      <c r="F220" s="89">
        <v>0</v>
      </c>
      <c r="G220" s="89">
        <v>0</v>
      </c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>
        <v>0</v>
      </c>
      <c r="C221" s="89">
        <v>0</v>
      </c>
      <c r="D221" s="89">
        <v>0</v>
      </c>
      <c r="E221" s="89">
        <v>0</v>
      </c>
      <c r="F221" s="89">
        <v>0</v>
      </c>
      <c r="G221" s="89">
        <v>0</v>
      </c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>
        <v>0</v>
      </c>
      <c r="C222" s="89">
        <v>0</v>
      </c>
      <c r="D222" s="89">
        <v>0</v>
      </c>
      <c r="E222" s="89">
        <v>0</v>
      </c>
      <c r="F222" s="89">
        <v>0</v>
      </c>
      <c r="G222" s="89">
        <v>0</v>
      </c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>
        <v>0</v>
      </c>
      <c r="C223" s="89">
        <v>0</v>
      </c>
      <c r="D223" s="89">
        <v>0</v>
      </c>
      <c r="E223" s="89">
        <v>0</v>
      </c>
      <c r="F223" s="89">
        <v>0</v>
      </c>
      <c r="G223" s="89">
        <v>0</v>
      </c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>
        <v>0</v>
      </c>
      <c r="C224" s="89">
        <v>0</v>
      </c>
      <c r="D224" s="89">
        <v>0</v>
      </c>
      <c r="E224" s="89">
        <v>0</v>
      </c>
      <c r="F224" s="89">
        <v>0</v>
      </c>
      <c r="G224" s="89">
        <v>0</v>
      </c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>
        <v>0</v>
      </c>
      <c r="C225" s="89">
        <v>0</v>
      </c>
      <c r="D225" s="89">
        <v>0</v>
      </c>
      <c r="E225" s="89">
        <v>0</v>
      </c>
      <c r="F225" s="89">
        <v>0</v>
      </c>
      <c r="G225" s="89">
        <v>0</v>
      </c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>
        <v>0</v>
      </c>
      <c r="C226" s="89">
        <v>0</v>
      </c>
      <c r="D226" s="89">
        <v>0</v>
      </c>
      <c r="E226" s="89">
        <v>0</v>
      </c>
      <c r="F226" s="89">
        <v>0</v>
      </c>
      <c r="G226" s="89">
        <v>0</v>
      </c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>
        <v>0</v>
      </c>
      <c r="C227" s="89"/>
      <c r="D227" s="89"/>
      <c r="E227" s="89"/>
      <c r="F227" s="89"/>
      <c r="G227" s="89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>
        <v>0</v>
      </c>
      <c r="C228" s="89"/>
      <c r="D228" s="89"/>
      <c r="E228" s="89"/>
      <c r="F228" s="89"/>
      <c r="G228" s="89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>
        <v>0</v>
      </c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>
        <v>0</v>
      </c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>
        <v>0</v>
      </c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>
        <v>0</v>
      </c>
      <c r="C232" s="89"/>
      <c r="D232" s="89"/>
      <c r="E232" s="89"/>
      <c r="F232" s="89"/>
      <c r="G232" s="89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>
        <v>0</v>
      </c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>
        <v>0</v>
      </c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>
        <v>0</v>
      </c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>
        <v>0</v>
      </c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>
        <v>0</v>
      </c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>
        <v>0</v>
      </c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>
        <v>0</v>
      </c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>
        <v>0</v>
      </c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>
        <v>0</v>
      </c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>
        <v>0</v>
      </c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>
        <v>0</v>
      </c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>
        <v>0</v>
      </c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>
        <v>0</v>
      </c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>
        <v>0</v>
      </c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>
        <v>0</v>
      </c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>
        <v>0</v>
      </c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>
        <v>0</v>
      </c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>
        <v>0</v>
      </c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>
        <v>0</v>
      </c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>
        <v>0</v>
      </c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x14ac:dyDescent="0.35">
      <c r="A259" s="66" t="s">
        <v>2648</v>
      </c>
      <c r="B259" s="89">
        <v>1000</v>
      </c>
      <c r="C259" s="89">
        <v>1000</v>
      </c>
      <c r="D259" s="89">
        <v>0</v>
      </c>
      <c r="E259" s="235">
        <v>1000</v>
      </c>
      <c r="F259" s="235">
        <v>1000</v>
      </c>
      <c r="G259" s="235">
        <v>1000</v>
      </c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>
        <v>0</v>
      </c>
      <c r="C260" s="89">
        <v>0</v>
      </c>
      <c r="D260" s="89">
        <v>0</v>
      </c>
      <c r="E260" s="89">
        <v>0</v>
      </c>
      <c r="F260" s="89">
        <v>0</v>
      </c>
      <c r="G260" s="89">
        <v>0</v>
      </c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>
        <v>0</v>
      </c>
      <c r="C261" s="89">
        <v>0</v>
      </c>
      <c r="D261" s="89">
        <v>0</v>
      </c>
      <c r="E261" s="89">
        <v>0</v>
      </c>
      <c r="F261" s="89">
        <v>0</v>
      </c>
      <c r="G261" s="89">
        <v>0</v>
      </c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>
        <v>0</v>
      </c>
      <c r="C263" s="89">
        <v>0</v>
      </c>
      <c r="D263" s="89">
        <v>0</v>
      </c>
      <c r="E263" s="89">
        <v>0</v>
      </c>
      <c r="F263" s="89">
        <v>0</v>
      </c>
      <c r="G263" s="89">
        <v>0</v>
      </c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>
        <v>0</v>
      </c>
      <c r="C264" s="89">
        <v>0</v>
      </c>
      <c r="D264" s="89">
        <v>0</v>
      </c>
      <c r="E264" s="89">
        <v>0</v>
      </c>
      <c r="F264" s="89">
        <v>0</v>
      </c>
      <c r="G264" s="89">
        <v>0</v>
      </c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>
        <v>0</v>
      </c>
      <c r="C265" s="89">
        <v>0</v>
      </c>
      <c r="D265" s="89">
        <v>0</v>
      </c>
      <c r="E265" s="89">
        <v>0</v>
      </c>
      <c r="F265" s="89">
        <v>0</v>
      </c>
      <c r="G265" s="89">
        <v>0</v>
      </c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>
        <v>0</v>
      </c>
      <c r="C266" s="89">
        <v>0</v>
      </c>
      <c r="D266" s="89">
        <v>0</v>
      </c>
      <c r="E266" s="89">
        <v>0</v>
      </c>
      <c r="F266" s="89">
        <v>0</v>
      </c>
      <c r="G266" s="89">
        <v>0</v>
      </c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>
        <v>0</v>
      </c>
      <c r="C267" s="89">
        <v>0</v>
      </c>
      <c r="D267" s="89">
        <v>0</v>
      </c>
      <c r="E267" s="89">
        <v>0</v>
      </c>
      <c r="F267" s="89">
        <v>0</v>
      </c>
      <c r="G267" s="89">
        <v>0</v>
      </c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>
        <v>0</v>
      </c>
      <c r="C268" s="89">
        <v>0</v>
      </c>
      <c r="D268" s="89">
        <v>0</v>
      </c>
      <c r="E268" s="89">
        <v>0</v>
      </c>
      <c r="F268" s="89">
        <v>0</v>
      </c>
      <c r="G268" s="89">
        <v>0</v>
      </c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>
        <v>0</v>
      </c>
      <c r="C269" s="89">
        <v>0</v>
      </c>
      <c r="D269" s="89">
        <v>0</v>
      </c>
      <c r="E269" s="89">
        <v>0</v>
      </c>
      <c r="F269" s="89">
        <v>0</v>
      </c>
      <c r="G269" s="89">
        <v>0</v>
      </c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>
        <v>0</v>
      </c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>
        <v>0</v>
      </c>
      <c r="C271" s="89">
        <v>0</v>
      </c>
      <c r="D271" s="89">
        <v>0</v>
      </c>
      <c r="E271" s="89">
        <v>0</v>
      </c>
      <c r="F271" s="89">
        <v>0</v>
      </c>
      <c r="G271" s="89">
        <v>0</v>
      </c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v>0</v>
      </c>
      <c r="C272" s="89">
        <v>0</v>
      </c>
      <c r="D272" s="89">
        <v>0</v>
      </c>
      <c r="E272" s="89">
        <v>0</v>
      </c>
      <c r="F272" s="89">
        <v>0</v>
      </c>
      <c r="G272" s="89">
        <v>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>
        <v>0</v>
      </c>
      <c r="C273" s="89">
        <v>0</v>
      </c>
      <c r="D273" s="89">
        <v>0</v>
      </c>
      <c r="E273" s="89">
        <v>0</v>
      </c>
      <c r="F273" s="89">
        <v>0</v>
      </c>
      <c r="G273" s="89">
        <v>0</v>
      </c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0</v>
      </c>
      <c r="C274" s="89">
        <v>0</v>
      </c>
      <c r="D274" s="89">
        <v>0</v>
      </c>
      <c r="E274" s="89">
        <v>0</v>
      </c>
      <c r="F274" s="89">
        <v>0</v>
      </c>
      <c r="G274" s="89">
        <v>0</v>
      </c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>
        <v>0</v>
      </c>
      <c r="C275" s="89">
        <v>0</v>
      </c>
      <c r="D275" s="89">
        <v>0</v>
      </c>
      <c r="E275" s="89">
        <v>0</v>
      </c>
      <c r="F275" s="89">
        <v>0</v>
      </c>
      <c r="G275" s="89">
        <v>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>
        <v>0</v>
      </c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0</v>
      </c>
      <c r="C277" s="89">
        <v>0</v>
      </c>
      <c r="D277" s="89">
        <v>0</v>
      </c>
      <c r="E277" s="89">
        <v>0</v>
      </c>
      <c r="F277" s="89">
        <v>0</v>
      </c>
      <c r="G277" s="89">
        <v>0</v>
      </c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>
        <v>0</v>
      </c>
      <c r="D278" s="89">
        <v>0</v>
      </c>
      <c r="E278" s="89">
        <v>0</v>
      </c>
      <c r="F278" s="89">
        <v>0</v>
      </c>
      <c r="G278" s="89">
        <v>0</v>
      </c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>
        <v>0</v>
      </c>
      <c r="D279" s="89">
        <v>0</v>
      </c>
      <c r="E279" s="89">
        <v>0</v>
      </c>
      <c r="F279" s="89">
        <v>0</v>
      </c>
      <c r="G279" s="89">
        <v>0</v>
      </c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>
        <v>0</v>
      </c>
      <c r="C280" s="89">
        <v>0</v>
      </c>
      <c r="D280" s="89">
        <v>0</v>
      </c>
      <c r="E280" s="89">
        <v>0</v>
      </c>
      <c r="F280" s="89">
        <v>0</v>
      </c>
      <c r="G280" s="89">
        <v>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>
        <v>0</v>
      </c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1000</v>
      </c>
      <c r="C290" s="112">
        <f t="shared" si="1"/>
        <v>1000</v>
      </c>
      <c r="D290" s="112">
        <f t="shared" si="1"/>
        <v>0</v>
      </c>
      <c r="E290" s="112">
        <f t="shared" si="1"/>
        <v>1000</v>
      </c>
      <c r="F290" s="112">
        <f t="shared" si="1"/>
        <v>1000</v>
      </c>
      <c r="G290" s="112">
        <f t="shared" si="1"/>
        <v>1000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-9100</v>
      </c>
      <c r="C292" s="112">
        <f t="shared" si="2"/>
        <v>-9100</v>
      </c>
      <c r="D292" s="112">
        <f t="shared" si="2"/>
        <v>-5400</v>
      </c>
      <c r="E292" s="112">
        <f t="shared" si="2"/>
        <v>-6000</v>
      </c>
      <c r="F292" s="112">
        <f t="shared" si="2"/>
        <v>-6300</v>
      </c>
      <c r="G292" s="112">
        <f t="shared" si="2"/>
        <v>-6700</v>
      </c>
    </row>
    <row r="293" spans="1:7" ht="15" thickTop="1" x14ac:dyDescent="0.35"/>
  </sheetData>
  <sortState xmlns:xlrd2="http://schemas.microsoft.com/office/spreadsheetml/2017/richdata2" ref="A125:I288">
    <sortCondition ref="A125:A288"/>
  </sortState>
  <pageMargins left="0.7" right="0.7" top="0.75" bottom="0.75" header="0.3" footer="0.3"/>
  <pageSetup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/>
    <pageSetUpPr fitToPage="1"/>
  </sheetPr>
  <dimension ref="A1:I293"/>
  <sheetViews>
    <sheetView zoomScale="69" zoomScaleNormal="69" workbookViewId="0">
      <selection activeCell="E183" sqref="E183:E198"/>
    </sheetView>
  </sheetViews>
  <sheetFormatPr defaultColWidth="9.1796875" defaultRowHeight="14.5" x14ac:dyDescent="0.35"/>
  <cols>
    <col min="1" max="1" width="61.36328125" style="113" customWidth="1"/>
    <col min="2" max="2" width="20.81640625" style="111" customWidth="1"/>
    <col min="3" max="3" width="17" style="111" customWidth="1"/>
    <col min="4" max="4" width="20.7265625" style="111" customWidth="1"/>
    <col min="5" max="5" width="21" style="113" customWidth="1"/>
    <col min="6" max="6" width="20.26953125" style="113" customWidth="1"/>
    <col min="7" max="7" width="20.453125" style="113" customWidth="1"/>
    <col min="8" max="8" width="36.54296875" style="113" customWidth="1"/>
    <col min="9" max="9" width="33.54296875" style="113" customWidth="1"/>
    <col min="10" max="11" width="0" style="113" hidden="1" customWidth="1"/>
    <col min="12" max="16384" width="9.1796875" style="113"/>
  </cols>
  <sheetData>
    <row r="1" spans="1:9" ht="15" thickBot="1" x14ac:dyDescent="0.4">
      <c r="F1" s="118">
        <v>12</v>
      </c>
      <c r="G1" s="118"/>
    </row>
    <row r="2" spans="1:9" ht="29.5" thickBot="1" x14ac:dyDescent="0.4">
      <c r="A2" s="120" t="s">
        <v>2810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26" t="s">
        <v>2690</v>
      </c>
      <c r="C4" s="114"/>
      <c r="E4" s="111"/>
      <c r="F4" s="116"/>
      <c r="G4" s="116"/>
    </row>
    <row r="5" spans="1:9" x14ac:dyDescent="0.35">
      <c r="A5" s="126"/>
      <c r="C5" s="114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x14ac:dyDescent="0.35">
      <c r="A8" s="66" t="s">
        <v>2979</v>
      </c>
      <c r="B8" s="89">
        <v>-1700</v>
      </c>
      <c r="C8" s="89">
        <v>-1700</v>
      </c>
      <c r="D8" s="235">
        <v>-1600</v>
      </c>
      <c r="E8" s="235">
        <v>-1700</v>
      </c>
      <c r="F8" s="235">
        <v>-1800</v>
      </c>
      <c r="G8" s="235">
        <v>-1900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/>
      <c r="D9" s="89"/>
      <c r="E9" s="89"/>
      <c r="F9" s="89"/>
      <c r="G9" s="89"/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/>
      <c r="D10" s="89"/>
      <c r="E10" s="89"/>
      <c r="F10" s="89"/>
      <c r="G10" s="89"/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/>
      <c r="D11" s="89"/>
      <c r="E11" s="89"/>
      <c r="F11" s="89"/>
      <c r="G11" s="89"/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/>
      <c r="D12" s="89"/>
      <c r="E12" s="89"/>
      <c r="F12" s="89"/>
      <c r="G12" s="89"/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/>
      <c r="D13" s="89"/>
      <c r="E13" s="89"/>
      <c r="F13" s="89"/>
      <c r="G13" s="89"/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/>
      <c r="D14" s="89"/>
      <c r="E14" s="89"/>
      <c r="F14" s="89"/>
      <c r="G14" s="89"/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/>
      <c r="D15" s="89"/>
      <c r="E15" s="89"/>
      <c r="F15" s="89"/>
      <c r="G15" s="89"/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/>
      <c r="D16" s="89"/>
      <c r="E16" s="89"/>
      <c r="F16" s="89"/>
      <c r="G16" s="89"/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/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/>
      <c r="D23" s="89"/>
      <c r="E23" s="89"/>
      <c r="F23" s="89"/>
      <c r="G23" s="89"/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/>
      <c r="D24" s="89"/>
      <c r="E24" s="89"/>
      <c r="F24" s="89"/>
      <c r="G24" s="89"/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>
        <v>0</v>
      </c>
      <c r="C25" s="89"/>
      <c r="D25" s="89"/>
      <c r="E25" s="89"/>
      <c r="F25" s="89"/>
      <c r="G25" s="89"/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>
        <v>0</v>
      </c>
      <c r="C26" s="89"/>
      <c r="D26" s="89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>
        <v>0</v>
      </c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>
        <v>0</v>
      </c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>
        <v>0</v>
      </c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>
        <v>0</v>
      </c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>
        <v>0</v>
      </c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>
        <v>0</v>
      </c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>
        <v>0</v>
      </c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>
        <v>0</v>
      </c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>
        <v>0</v>
      </c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>
        <v>0</v>
      </c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>
        <v>0</v>
      </c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>
        <v>0</v>
      </c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>
        <v>0</v>
      </c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>
        <v>0</v>
      </c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>
        <v>0</v>
      </c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>
        <v>0</v>
      </c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>
        <v>0</v>
      </c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>
        <v>0</v>
      </c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>
        <v>0</v>
      </c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>
        <v>0</v>
      </c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>
        <v>0</v>
      </c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>
        <v>0</v>
      </c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>
        <v>0</v>
      </c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>
        <v>0</v>
      </c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>
        <v>0</v>
      </c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>
        <v>0</v>
      </c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>
        <v>0</v>
      </c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>
        <v>0</v>
      </c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>
        <v>0</v>
      </c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>
        <v>0</v>
      </c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>
        <v>0</v>
      </c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>
        <v>0</v>
      </c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>
        <v>0</v>
      </c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>
        <v>0</v>
      </c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>
        <v>0</v>
      </c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/>
      <c r="D92" s="89"/>
      <c r="E92" s="89"/>
      <c r="F92" s="89"/>
      <c r="G92" s="89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>
        <v>0</v>
      </c>
      <c r="C93" s="89"/>
      <c r="D93" s="89"/>
      <c r="E93" s="89"/>
      <c r="F93" s="89"/>
      <c r="G93" s="89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/>
      <c r="D94" s="89"/>
      <c r="E94" s="89"/>
      <c r="F94" s="89"/>
      <c r="G94" s="89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/>
      <c r="D95" s="89"/>
      <c r="E95" s="89"/>
      <c r="F95" s="89"/>
      <c r="G95" s="89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/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/>
      <c r="D100" s="89"/>
      <c r="E100" s="89"/>
      <c r="F100" s="89"/>
      <c r="G100" s="89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/>
      <c r="D101" s="89"/>
      <c r="E101" s="89"/>
      <c r="F101" s="89"/>
      <c r="G101" s="89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/>
      <c r="D102" s="89"/>
      <c r="E102" s="89"/>
      <c r="F102" s="89"/>
      <c r="G102" s="89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/>
      <c r="D103" s="89"/>
      <c r="E103" s="89"/>
      <c r="F103" s="89"/>
      <c r="G103" s="89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/>
      <c r="D104" s="89"/>
      <c r="E104" s="89"/>
      <c r="F104" s="89"/>
      <c r="G104" s="89"/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/>
      <c r="D105" s="89"/>
      <c r="E105" s="89"/>
      <c r="F105" s="89"/>
      <c r="G105" s="89"/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/>
      <c r="D106" s="89"/>
      <c r="E106" s="89"/>
      <c r="F106" s="89"/>
      <c r="G106" s="89"/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9" ht="15" thickBot="1" x14ac:dyDescent="0.4">
      <c r="A121" s="117" t="s">
        <v>2545</v>
      </c>
      <c r="B121" s="112">
        <f t="shared" ref="B121:G121" si="0">SUM(B2:B119)</f>
        <v>-1700</v>
      </c>
      <c r="C121" s="112">
        <f t="shared" si="0"/>
        <v>-1700</v>
      </c>
      <c r="D121" s="112">
        <f t="shared" si="0"/>
        <v>-1600</v>
      </c>
      <c r="E121" s="112">
        <f t="shared" si="0"/>
        <v>-1700</v>
      </c>
      <c r="F121" s="112">
        <f t="shared" si="0"/>
        <v>-1800</v>
      </c>
      <c r="G121" s="112">
        <f t="shared" si="0"/>
        <v>-1900</v>
      </c>
    </row>
    <row r="122" spans="1:9" ht="15" thickTop="1" x14ac:dyDescent="0.35"/>
    <row r="123" spans="1:9" x14ac:dyDescent="0.35">
      <c r="A123" s="126" t="s">
        <v>2691</v>
      </c>
    </row>
    <row r="124" spans="1:9" x14ac:dyDescent="0.35">
      <c r="A124" s="126"/>
    </row>
    <row r="125" spans="1:9" x14ac:dyDescent="0.35">
      <c r="A125" s="66" t="s">
        <v>3438</v>
      </c>
      <c r="B125" s="89">
        <v>14400</v>
      </c>
      <c r="C125" s="89">
        <v>14400</v>
      </c>
      <c r="D125" s="235">
        <v>15800</v>
      </c>
      <c r="E125" s="235">
        <v>14400</v>
      </c>
      <c r="F125" s="235">
        <v>15200</v>
      </c>
      <c r="G125" s="235">
        <v>16000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/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/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/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/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/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/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/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/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/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0</v>
      </c>
      <c r="C135" s="89">
        <v>0</v>
      </c>
      <c r="D135" s="89"/>
      <c r="E135" s="89">
        <v>0</v>
      </c>
      <c r="F135" s="89">
        <v>0</v>
      </c>
      <c r="G135" s="89">
        <v>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>
        <v>0</v>
      </c>
      <c r="C136" s="89">
        <v>0</v>
      </c>
      <c r="D136" s="89"/>
      <c r="E136" s="89">
        <v>0</v>
      </c>
      <c r="F136" s="89">
        <v>0</v>
      </c>
      <c r="G136" s="89">
        <v>0</v>
      </c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>
        <v>0</v>
      </c>
      <c r="C137" s="89">
        <v>0</v>
      </c>
      <c r="D137" s="89"/>
      <c r="E137" s="89">
        <v>0</v>
      </c>
      <c r="F137" s="89">
        <v>0</v>
      </c>
      <c r="G137" s="89">
        <v>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0</v>
      </c>
      <c r="C138" s="89">
        <v>0</v>
      </c>
      <c r="D138" s="89"/>
      <c r="E138" s="89">
        <v>0</v>
      </c>
      <c r="F138" s="89">
        <v>0</v>
      </c>
      <c r="G138" s="89">
        <v>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0</v>
      </c>
      <c r="C140" s="89">
        <v>0</v>
      </c>
      <c r="D140" s="89"/>
      <c r="E140" s="89">
        <v>0</v>
      </c>
      <c r="F140" s="89">
        <v>0</v>
      </c>
      <c r="G140" s="89">
        <v>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>
        <v>0</v>
      </c>
      <c r="D141" s="89"/>
      <c r="E141" s="89">
        <v>0</v>
      </c>
      <c r="F141" s="89">
        <v>0</v>
      </c>
      <c r="G141" s="89">
        <v>0</v>
      </c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>
        <v>0</v>
      </c>
      <c r="D142" s="89"/>
      <c r="E142" s="89">
        <v>0</v>
      </c>
      <c r="F142" s="89">
        <v>0</v>
      </c>
      <c r="G142" s="89">
        <v>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89"/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>
        <v>0</v>
      </c>
      <c r="D145" s="89"/>
      <c r="E145" s="89">
        <v>0</v>
      </c>
      <c r="F145" s="89">
        <v>0</v>
      </c>
      <c r="G145" s="89">
        <v>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>
        <v>0</v>
      </c>
      <c r="D146" s="89"/>
      <c r="E146" s="89">
        <v>0</v>
      </c>
      <c r="F146" s="89">
        <v>0</v>
      </c>
      <c r="G146" s="89">
        <v>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>
        <v>0</v>
      </c>
      <c r="D147" s="89"/>
      <c r="E147" s="89">
        <v>0</v>
      </c>
      <c r="F147" s="89">
        <v>0</v>
      </c>
      <c r="G147" s="89">
        <v>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>
        <v>0</v>
      </c>
      <c r="D148" s="89"/>
      <c r="E148" s="89">
        <v>0</v>
      </c>
      <c r="F148" s="89">
        <v>0</v>
      </c>
      <c r="G148" s="89">
        <v>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>
        <v>0</v>
      </c>
      <c r="D149" s="89"/>
      <c r="E149" s="89">
        <v>0</v>
      </c>
      <c r="F149" s="89">
        <v>0</v>
      </c>
      <c r="G149" s="89">
        <v>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>
        <v>0</v>
      </c>
      <c r="D150" s="89"/>
      <c r="E150" s="89">
        <v>0</v>
      </c>
      <c r="F150" s="89">
        <v>0</v>
      </c>
      <c r="G150" s="89">
        <v>0</v>
      </c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>
        <v>0</v>
      </c>
      <c r="D151" s="89"/>
      <c r="E151" s="89">
        <v>0</v>
      </c>
      <c r="F151" s="89">
        <v>0</v>
      </c>
      <c r="G151" s="89">
        <v>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>
        <v>0</v>
      </c>
      <c r="C152" s="89">
        <v>0</v>
      </c>
      <c r="D152" s="89"/>
      <c r="E152" s="89">
        <v>0</v>
      </c>
      <c r="F152" s="89">
        <v>0</v>
      </c>
      <c r="G152" s="89">
        <v>0</v>
      </c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0</v>
      </c>
      <c r="C153" s="89">
        <v>0</v>
      </c>
      <c r="D153" s="89"/>
      <c r="E153" s="89">
        <v>0</v>
      </c>
      <c r="F153" s="89">
        <v>0</v>
      </c>
      <c r="G153" s="89">
        <v>0</v>
      </c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x14ac:dyDescent="0.35">
      <c r="A156" s="66" t="s">
        <v>3489</v>
      </c>
      <c r="B156" s="89">
        <v>9000</v>
      </c>
      <c r="C156" s="89">
        <v>9000</v>
      </c>
      <c r="D156" s="235">
        <v>0</v>
      </c>
      <c r="E156" s="235">
        <v>0</v>
      </c>
      <c r="F156" s="235"/>
      <c r="G156" s="235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>
        <v>0</v>
      </c>
      <c r="C157" s="89">
        <v>0</v>
      </c>
      <c r="D157" s="89"/>
      <c r="E157" s="234">
        <v>0</v>
      </c>
      <c r="F157" s="234">
        <v>0</v>
      </c>
      <c r="G157" s="234">
        <v>0</v>
      </c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>
        <v>0</v>
      </c>
      <c r="C158" s="89">
        <v>0</v>
      </c>
      <c r="D158" s="89"/>
      <c r="E158" s="234">
        <v>0</v>
      </c>
      <c r="F158" s="234">
        <v>0</v>
      </c>
      <c r="G158" s="234">
        <v>0</v>
      </c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>
        <v>0</v>
      </c>
      <c r="C159" s="89">
        <v>0</v>
      </c>
      <c r="D159" s="89"/>
      <c r="E159" s="234">
        <v>0</v>
      </c>
      <c r="F159" s="234">
        <v>0</v>
      </c>
      <c r="G159" s="234">
        <v>0</v>
      </c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>
        <v>0</v>
      </c>
      <c r="C160" s="89">
        <v>0</v>
      </c>
      <c r="D160" s="89"/>
      <c r="E160" s="234">
        <v>0</v>
      </c>
      <c r="F160" s="234">
        <v>0</v>
      </c>
      <c r="G160" s="234">
        <v>0</v>
      </c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>
        <v>0</v>
      </c>
      <c r="C161" s="89">
        <v>0</v>
      </c>
      <c r="D161" s="89"/>
      <c r="E161" s="234">
        <v>0</v>
      </c>
      <c r="F161" s="234">
        <v>0</v>
      </c>
      <c r="G161" s="234">
        <v>0</v>
      </c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>
        <v>0</v>
      </c>
      <c r="C162" s="89">
        <v>0</v>
      </c>
      <c r="D162" s="89"/>
      <c r="E162" s="234">
        <v>0</v>
      </c>
      <c r="F162" s="234">
        <v>0</v>
      </c>
      <c r="G162" s="234">
        <v>0</v>
      </c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>
        <v>0</v>
      </c>
      <c r="C163" s="89">
        <v>0</v>
      </c>
      <c r="D163" s="89"/>
      <c r="E163" s="234">
        <v>0</v>
      </c>
      <c r="F163" s="234">
        <v>0</v>
      </c>
      <c r="G163" s="234">
        <v>0</v>
      </c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>
        <v>0</v>
      </c>
      <c r="C164" s="89">
        <v>0</v>
      </c>
      <c r="D164" s="89"/>
      <c r="E164" s="234">
        <v>0</v>
      </c>
      <c r="F164" s="234">
        <v>0</v>
      </c>
      <c r="G164" s="234">
        <v>0</v>
      </c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>
        <v>0</v>
      </c>
      <c r="C165" s="89">
        <v>0</v>
      </c>
      <c r="D165" s="89"/>
      <c r="E165" s="234">
        <v>0</v>
      </c>
      <c r="F165" s="234">
        <v>0</v>
      </c>
      <c r="G165" s="234">
        <v>0</v>
      </c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>
        <v>0</v>
      </c>
      <c r="C166" s="89">
        <v>0</v>
      </c>
      <c r="D166" s="89"/>
      <c r="E166" s="234">
        <v>0</v>
      </c>
      <c r="F166" s="234">
        <v>0</v>
      </c>
      <c r="G166" s="234">
        <v>0</v>
      </c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>
        <v>0</v>
      </c>
      <c r="C167" s="89">
        <v>0</v>
      </c>
      <c r="D167" s="89"/>
      <c r="E167" s="234">
        <v>0</v>
      </c>
      <c r="F167" s="234">
        <v>0</v>
      </c>
      <c r="G167" s="234">
        <v>0</v>
      </c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>
        <v>0</v>
      </c>
      <c r="C168" s="89">
        <v>0</v>
      </c>
      <c r="D168" s="89"/>
      <c r="E168" s="234">
        <v>0</v>
      </c>
      <c r="F168" s="234">
        <v>0</v>
      </c>
      <c r="G168" s="234">
        <v>0</v>
      </c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>
        <v>0</v>
      </c>
      <c r="C169" s="89">
        <v>0</v>
      </c>
      <c r="D169" s="89"/>
      <c r="E169" s="234">
        <v>0</v>
      </c>
      <c r="F169" s="234">
        <v>0</v>
      </c>
      <c r="G169" s="234">
        <v>0</v>
      </c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>
        <v>0</v>
      </c>
      <c r="C170" s="89">
        <v>0</v>
      </c>
      <c r="D170" s="89"/>
      <c r="E170" s="234">
        <v>0</v>
      </c>
      <c r="F170" s="234">
        <v>0</v>
      </c>
      <c r="G170" s="234">
        <v>0</v>
      </c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>
        <v>0</v>
      </c>
      <c r="C171" s="89">
        <v>0</v>
      </c>
      <c r="D171" s="89"/>
      <c r="E171" s="234">
        <v>0</v>
      </c>
      <c r="F171" s="234">
        <v>0</v>
      </c>
      <c r="G171" s="234">
        <v>0</v>
      </c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234"/>
      <c r="F172" s="234"/>
      <c r="G172" s="234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>
        <v>0</v>
      </c>
      <c r="C173" s="89">
        <v>0</v>
      </c>
      <c r="D173" s="89"/>
      <c r="E173" s="234">
        <v>0</v>
      </c>
      <c r="F173" s="234">
        <v>0</v>
      </c>
      <c r="G173" s="234">
        <v>0</v>
      </c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234"/>
      <c r="F174" s="234"/>
      <c r="G174" s="234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>
        <v>0</v>
      </c>
      <c r="C175" s="89">
        <v>0</v>
      </c>
      <c r="D175" s="89"/>
      <c r="E175" s="234">
        <v>0</v>
      </c>
      <c r="F175" s="234">
        <v>0</v>
      </c>
      <c r="G175" s="234">
        <v>0</v>
      </c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>
        <v>0</v>
      </c>
      <c r="C176" s="89">
        <v>0</v>
      </c>
      <c r="D176" s="89"/>
      <c r="E176" s="234">
        <v>0</v>
      </c>
      <c r="F176" s="234">
        <v>0</v>
      </c>
      <c r="G176" s="234">
        <v>0</v>
      </c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234"/>
      <c r="F177" s="234"/>
      <c r="G177" s="234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>
        <v>0</v>
      </c>
      <c r="C178" s="89">
        <v>0</v>
      </c>
      <c r="D178" s="89"/>
      <c r="E178" s="234">
        <v>0</v>
      </c>
      <c r="F178" s="234">
        <v>0</v>
      </c>
      <c r="G178" s="234">
        <v>0</v>
      </c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>
        <v>0</v>
      </c>
      <c r="C179" s="89">
        <v>0</v>
      </c>
      <c r="D179" s="89"/>
      <c r="E179" s="234">
        <v>0</v>
      </c>
      <c r="F179" s="234">
        <v>0</v>
      </c>
      <c r="G179" s="234">
        <v>0</v>
      </c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>
        <v>0</v>
      </c>
      <c r="C180" s="89">
        <v>0</v>
      </c>
      <c r="D180" s="89"/>
      <c r="E180" s="234">
        <v>0</v>
      </c>
      <c r="F180" s="234">
        <v>0</v>
      </c>
      <c r="G180" s="234">
        <v>0</v>
      </c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>
        <v>0</v>
      </c>
      <c r="C181" s="89">
        <v>0</v>
      </c>
      <c r="D181" s="89"/>
      <c r="E181" s="234">
        <v>0</v>
      </c>
      <c r="F181" s="234">
        <v>0</v>
      </c>
      <c r="G181" s="234">
        <v>0</v>
      </c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>
        <v>0</v>
      </c>
      <c r="C182" s="89">
        <v>0</v>
      </c>
      <c r="D182" s="89"/>
      <c r="E182" s="234">
        <v>0</v>
      </c>
      <c r="F182" s="234">
        <v>0</v>
      </c>
      <c r="G182" s="234">
        <v>0</v>
      </c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400</v>
      </c>
      <c r="C183" s="89">
        <v>400</v>
      </c>
      <c r="D183" s="235">
        <v>391.6</v>
      </c>
      <c r="E183" s="235">
        <v>500</v>
      </c>
      <c r="F183" s="235">
        <v>600</v>
      </c>
      <c r="G183" s="235">
        <v>600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36000</v>
      </c>
      <c r="C184" s="89">
        <v>36000</v>
      </c>
      <c r="D184" s="235">
        <v>35192.9</v>
      </c>
      <c r="E184" s="235">
        <v>38200</v>
      </c>
      <c r="F184" s="235">
        <v>40700</v>
      </c>
      <c r="G184" s="235">
        <v>43400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hidden="1" x14ac:dyDescent="0.35">
      <c r="A185" s="66" t="s">
        <v>2903</v>
      </c>
      <c r="B185" s="89">
        <v>0</v>
      </c>
      <c r="C185" s="89">
        <v>0</v>
      </c>
      <c r="D185" s="89"/>
      <c r="E185" s="234">
        <v>0</v>
      </c>
      <c r="F185" s="234">
        <v>0</v>
      </c>
      <c r="G185" s="234">
        <v>0</v>
      </c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4500</v>
      </c>
      <c r="C186" s="89">
        <v>4500</v>
      </c>
      <c r="D186" s="235">
        <v>4472</v>
      </c>
      <c r="E186" s="235">
        <v>4900</v>
      </c>
      <c r="F186" s="235">
        <v>5300</v>
      </c>
      <c r="G186" s="235">
        <v>5700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89"/>
      <c r="E190" s="234"/>
      <c r="F190" s="234"/>
      <c r="G190" s="234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41800</v>
      </c>
      <c r="C191" s="89">
        <v>41800</v>
      </c>
      <c r="D191" s="235">
        <v>39543.300000000003</v>
      </c>
      <c r="E191" s="235">
        <v>44300</v>
      </c>
      <c r="F191" s="235">
        <v>47200</v>
      </c>
      <c r="G191" s="235">
        <v>50300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235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431500</v>
      </c>
      <c r="C193" s="89">
        <v>431500</v>
      </c>
      <c r="D193" s="235">
        <v>421319.52</v>
      </c>
      <c r="E193" s="235">
        <v>456500</v>
      </c>
      <c r="F193" s="235">
        <v>486200</v>
      </c>
      <c r="G193" s="235">
        <v>517900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4400</v>
      </c>
      <c r="C198" s="89">
        <v>4400</v>
      </c>
      <c r="D198" s="235">
        <v>4200</v>
      </c>
      <c r="E198" s="235">
        <v>4600</v>
      </c>
      <c r="F198" s="235">
        <v>4900</v>
      </c>
      <c r="G198" s="235">
        <v>5300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235"/>
      <c r="E199" s="235"/>
      <c r="F199" s="235"/>
      <c r="G199" s="235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235"/>
      <c r="E200" s="235"/>
      <c r="F200" s="235"/>
      <c r="G200" s="235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>
        <v>0</v>
      </c>
      <c r="C201" s="89">
        <v>0</v>
      </c>
      <c r="D201" s="235"/>
      <c r="E201" s="235">
        <v>0</v>
      </c>
      <c r="F201" s="235">
        <v>0</v>
      </c>
      <c r="G201" s="235">
        <v>0</v>
      </c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235"/>
      <c r="E202" s="235"/>
      <c r="F202" s="235"/>
      <c r="G202" s="235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235"/>
      <c r="E203" s="235"/>
      <c r="F203" s="235"/>
      <c r="G203" s="235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235"/>
      <c r="E204" s="235"/>
      <c r="F204" s="235"/>
      <c r="G204" s="235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235"/>
      <c r="E205" s="235"/>
      <c r="F205" s="235"/>
      <c r="G205" s="235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235"/>
      <c r="E206" s="235"/>
      <c r="F206" s="235"/>
      <c r="G206" s="235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235"/>
      <c r="E207" s="235"/>
      <c r="F207" s="235"/>
      <c r="G207" s="235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235"/>
      <c r="E208" s="235"/>
      <c r="F208" s="235"/>
      <c r="G208" s="235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235"/>
      <c r="E209" s="235"/>
      <c r="F209" s="235"/>
      <c r="G209" s="235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235"/>
      <c r="E210" s="235"/>
      <c r="F210" s="235"/>
      <c r="G210" s="235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235"/>
      <c r="E211" s="235"/>
      <c r="F211" s="235"/>
      <c r="G211" s="235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235"/>
      <c r="E212" s="235"/>
      <c r="F212" s="235"/>
      <c r="G212" s="235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235"/>
      <c r="E213" s="235"/>
      <c r="F213" s="235"/>
      <c r="G213" s="235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235"/>
      <c r="E214" s="235"/>
      <c r="F214" s="235"/>
      <c r="G214" s="235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235"/>
      <c r="E215" s="235"/>
      <c r="F215" s="235"/>
      <c r="G215" s="235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235"/>
      <c r="E216" s="235"/>
      <c r="F216" s="235"/>
      <c r="G216" s="235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235"/>
      <c r="E217" s="235"/>
      <c r="F217" s="235"/>
      <c r="G217" s="235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235"/>
      <c r="E218" s="235"/>
      <c r="F218" s="235"/>
      <c r="G218" s="235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235"/>
      <c r="E219" s="235"/>
      <c r="F219" s="235"/>
      <c r="G219" s="235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235"/>
      <c r="E220" s="235"/>
      <c r="F220" s="235"/>
      <c r="G220" s="235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235"/>
      <c r="E221" s="235"/>
      <c r="F221" s="235"/>
      <c r="G221" s="235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235"/>
      <c r="E222" s="235"/>
      <c r="F222" s="235"/>
      <c r="G222" s="235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235"/>
      <c r="E223" s="235"/>
      <c r="F223" s="235"/>
      <c r="G223" s="235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235"/>
      <c r="E224" s="235"/>
      <c r="F224" s="235"/>
      <c r="G224" s="235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235"/>
      <c r="E225" s="235"/>
      <c r="F225" s="235"/>
      <c r="G225" s="235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235"/>
      <c r="E226" s="235"/>
      <c r="F226" s="235"/>
      <c r="G226" s="235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235"/>
      <c r="E227" s="235"/>
      <c r="F227" s="235"/>
      <c r="G227" s="235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235"/>
      <c r="E228" s="235"/>
      <c r="F228" s="235"/>
      <c r="G228" s="235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235"/>
      <c r="E229" s="235"/>
      <c r="F229" s="235"/>
      <c r="G229" s="235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235"/>
      <c r="E230" s="235"/>
      <c r="F230" s="235"/>
      <c r="G230" s="235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235"/>
      <c r="E231" s="235"/>
      <c r="F231" s="235"/>
      <c r="G231" s="235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x14ac:dyDescent="0.35">
      <c r="A232" s="66" t="s">
        <v>3036</v>
      </c>
      <c r="B232" s="89">
        <v>70000</v>
      </c>
      <c r="C232" s="89">
        <f>70000-50000</f>
        <v>20000</v>
      </c>
      <c r="D232" s="235">
        <v>87125.99</v>
      </c>
      <c r="E232" s="235">
        <v>70000</v>
      </c>
      <c r="F232" s="235">
        <v>180000</v>
      </c>
      <c r="G232" s="235">
        <v>180000</v>
      </c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>
        <v>0</v>
      </c>
      <c r="C233" s="89">
        <v>0</v>
      </c>
      <c r="D233" s="89"/>
      <c r="E233" s="89">
        <v>0</v>
      </c>
      <c r="F233" s="89">
        <v>0</v>
      </c>
      <c r="G233" s="89">
        <v>0</v>
      </c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>
        <v>0</v>
      </c>
      <c r="C255" s="89">
        <v>0</v>
      </c>
      <c r="D255" s="89"/>
      <c r="E255" s="89">
        <v>0</v>
      </c>
      <c r="F255" s="89">
        <v>0</v>
      </c>
      <c r="G255" s="89">
        <v>0</v>
      </c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x14ac:dyDescent="0.35">
      <c r="A272" s="66" t="s">
        <v>3439</v>
      </c>
      <c r="B272" s="89">
        <v>4400</v>
      </c>
      <c r="C272" s="89">
        <v>4400</v>
      </c>
      <c r="D272" s="235">
        <v>4200</v>
      </c>
      <c r="E272" s="235">
        <v>4600</v>
      </c>
      <c r="F272" s="235">
        <v>4900</v>
      </c>
      <c r="G272" s="235">
        <v>5300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x14ac:dyDescent="0.35">
      <c r="A275" s="66" t="s">
        <v>3476</v>
      </c>
      <c r="B275" s="89">
        <v>2900</v>
      </c>
      <c r="C275" s="89">
        <v>2900</v>
      </c>
      <c r="D275" s="235">
        <v>3280</v>
      </c>
      <c r="E275" s="235">
        <v>2900</v>
      </c>
      <c r="F275" s="235">
        <v>3100</v>
      </c>
      <c r="G275" s="235">
        <v>3300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235"/>
      <c r="E276" s="235"/>
      <c r="F276" s="235"/>
      <c r="G276" s="235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235"/>
      <c r="E277" s="235"/>
      <c r="F277" s="235"/>
      <c r="G277" s="235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235"/>
      <c r="E278" s="235"/>
      <c r="F278" s="235"/>
      <c r="G278" s="235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235"/>
      <c r="E279" s="235"/>
      <c r="F279" s="235"/>
      <c r="G279" s="235"/>
      <c r="H279" s="66" t="str">
        <f>VLOOKUP(A279,'Tot KPA'!A:H,8,0)</f>
        <v>Other expenditure</v>
      </c>
      <c r="I279" s="66">
        <f>VLOOKUP(A279,'Tot KPA'!A:I,9,0)</f>
        <v>0</v>
      </c>
    </row>
    <row r="280" spans="1:9" x14ac:dyDescent="0.35">
      <c r="A280" s="66" t="s">
        <v>3447</v>
      </c>
      <c r="B280" s="89">
        <v>65000</v>
      </c>
      <c r="C280" s="89">
        <v>65000</v>
      </c>
      <c r="D280" s="235">
        <v>66129.850000000006</v>
      </c>
      <c r="E280" s="235">
        <v>65000</v>
      </c>
      <c r="F280" s="235">
        <v>68600</v>
      </c>
      <c r="G280" s="235">
        <v>72300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/>
      <c r="D281" s="89"/>
      <c r="E281" s="89"/>
      <c r="F281" s="89"/>
      <c r="G281" s="89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684300</v>
      </c>
      <c r="C290" s="112">
        <f t="shared" si="1"/>
        <v>634300</v>
      </c>
      <c r="D290" s="112">
        <f t="shared" si="1"/>
        <v>681655.16</v>
      </c>
      <c r="E290" s="112">
        <f t="shared" si="1"/>
        <v>705900</v>
      </c>
      <c r="F290" s="112">
        <f t="shared" si="1"/>
        <v>856700</v>
      </c>
      <c r="G290" s="112">
        <f t="shared" si="1"/>
        <v>900100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682600</v>
      </c>
      <c r="C292" s="112">
        <f t="shared" si="2"/>
        <v>632600</v>
      </c>
      <c r="D292" s="112">
        <f t="shared" si="2"/>
        <v>680055.16</v>
      </c>
      <c r="E292" s="112">
        <f t="shared" si="2"/>
        <v>704200</v>
      </c>
      <c r="F292" s="112">
        <f t="shared" si="2"/>
        <v>854900</v>
      </c>
      <c r="G292" s="112">
        <f t="shared" si="2"/>
        <v>898200</v>
      </c>
    </row>
    <row r="293" spans="1:7" ht="15" thickTop="1" x14ac:dyDescent="0.35"/>
  </sheetData>
  <sortState xmlns:xlrd2="http://schemas.microsoft.com/office/spreadsheetml/2017/richdata2" ref="A125:I288">
    <sortCondition ref="A125:A288"/>
  </sortState>
  <pageMargins left="0.7" right="0.7" top="0.75" bottom="0.75" header="0.3" footer="0.3"/>
  <pageSetup scale="1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K265"/>
  <sheetViews>
    <sheetView topLeftCell="A95" workbookViewId="0">
      <selection activeCell="F11" sqref="F11"/>
    </sheetView>
  </sheetViews>
  <sheetFormatPr defaultColWidth="9.1796875" defaultRowHeight="14.5" x14ac:dyDescent="0.35"/>
  <cols>
    <col min="1" max="1" width="24.7265625" style="113" customWidth="1"/>
    <col min="2" max="2" width="36.1796875" style="113" customWidth="1"/>
    <col min="3" max="3" width="19.7265625" style="113" customWidth="1"/>
    <col min="4" max="4" width="17.81640625" style="113" customWidth="1"/>
    <col min="5" max="5" width="15.54296875" style="113" customWidth="1"/>
    <col min="6" max="6" width="15.7265625" style="113" customWidth="1"/>
    <col min="7" max="8" width="15.81640625" style="113" customWidth="1"/>
    <col min="9" max="9" width="31.26953125" style="113" customWidth="1"/>
    <col min="10" max="16384" width="9.1796875" style="113"/>
  </cols>
  <sheetData>
    <row r="1" spans="1:9" ht="15" thickBot="1" x14ac:dyDescent="0.4">
      <c r="G1" s="118">
        <v>10</v>
      </c>
      <c r="H1" s="118"/>
    </row>
    <row r="2" spans="1:9" ht="29.5" thickBot="1" x14ac:dyDescent="0.4">
      <c r="A2" s="120" t="s">
        <v>2538</v>
      </c>
      <c r="B2" s="120" t="s">
        <v>2539</v>
      </c>
      <c r="C2" s="121" t="s">
        <v>2599</v>
      </c>
      <c r="D2" s="121" t="s">
        <v>2755</v>
      </c>
      <c r="E2" s="109" t="s">
        <v>2756</v>
      </c>
      <c r="F2" s="109" t="s">
        <v>2600</v>
      </c>
      <c r="G2" s="109" t="s">
        <v>2601</v>
      </c>
      <c r="H2" s="109" t="s">
        <v>2754</v>
      </c>
      <c r="I2" s="109" t="s">
        <v>2704</v>
      </c>
    </row>
    <row r="3" spans="1:9" x14ac:dyDescent="0.35">
      <c r="A3" s="122"/>
      <c r="B3" s="122"/>
      <c r="C3" s="110"/>
      <c r="D3" s="110"/>
      <c r="E3" s="110"/>
      <c r="F3" s="110"/>
      <c r="G3" s="110"/>
      <c r="H3" s="110"/>
    </row>
    <row r="4" spans="1:9" ht="15" thickBot="1" x14ac:dyDescent="0.4">
      <c r="B4" s="126" t="s">
        <v>2692</v>
      </c>
      <c r="C4" s="111"/>
      <c r="D4" s="111"/>
      <c r="E4" s="111"/>
      <c r="F4" s="111"/>
      <c r="G4" s="116"/>
      <c r="H4" s="116"/>
    </row>
    <row r="5" spans="1:9" x14ac:dyDescent="0.35">
      <c r="A5" s="93" t="s">
        <v>1</v>
      </c>
      <c r="B5" s="69" t="s">
        <v>2733</v>
      </c>
      <c r="C5" s="94"/>
      <c r="D5" s="94"/>
      <c r="E5" s="100"/>
      <c r="F5" s="91"/>
      <c r="G5" s="94"/>
      <c r="H5" s="95"/>
      <c r="I5" s="123" t="s">
        <v>2707</v>
      </c>
    </row>
    <row r="6" spans="1:9" x14ac:dyDescent="0.35">
      <c r="A6" s="44" t="s">
        <v>3</v>
      </c>
      <c r="B6" s="66" t="s">
        <v>4</v>
      </c>
      <c r="C6" s="89"/>
      <c r="D6" s="89"/>
      <c r="E6" s="90"/>
      <c r="F6" s="88"/>
      <c r="G6" s="89"/>
      <c r="H6" s="96"/>
      <c r="I6" s="108" t="s">
        <v>2705</v>
      </c>
    </row>
    <row r="7" spans="1:9" x14ac:dyDescent="0.35">
      <c r="A7" s="44" t="s">
        <v>139</v>
      </c>
      <c r="B7" s="66" t="s">
        <v>6</v>
      </c>
      <c r="C7" s="89"/>
      <c r="D7" s="89"/>
      <c r="E7" s="90"/>
      <c r="F7" s="88"/>
      <c r="G7" s="89"/>
      <c r="H7" s="96"/>
      <c r="I7" s="108" t="s">
        <v>2706</v>
      </c>
    </row>
    <row r="8" spans="1:9" x14ac:dyDescent="0.35">
      <c r="A8" s="44" t="s">
        <v>7</v>
      </c>
      <c r="B8" s="66" t="s">
        <v>8</v>
      </c>
      <c r="C8" s="89"/>
      <c r="D8" s="89"/>
      <c r="E8" s="90"/>
      <c r="F8" s="88"/>
      <c r="G8" s="89"/>
      <c r="H8" s="96"/>
      <c r="I8" s="108" t="s">
        <v>2707</v>
      </c>
    </row>
    <row r="9" spans="1:9" x14ac:dyDescent="0.35">
      <c r="A9" s="44" t="s">
        <v>9</v>
      </c>
      <c r="B9" s="66" t="s">
        <v>10</v>
      </c>
      <c r="C9" s="89"/>
      <c r="D9" s="89"/>
      <c r="E9" s="90"/>
      <c r="F9" s="88"/>
      <c r="G9" s="89"/>
      <c r="H9" s="96"/>
      <c r="I9" s="108" t="s">
        <v>2707</v>
      </c>
    </row>
    <row r="10" spans="1:9" x14ac:dyDescent="0.35">
      <c r="A10" s="44" t="s">
        <v>11</v>
      </c>
      <c r="B10" s="66" t="s">
        <v>12</v>
      </c>
      <c r="C10" s="89"/>
      <c r="D10" s="89"/>
      <c r="E10" s="90"/>
      <c r="F10" s="88"/>
      <c r="G10" s="89"/>
      <c r="H10" s="96"/>
      <c r="I10" s="108" t="s">
        <v>2707</v>
      </c>
    </row>
    <row r="11" spans="1:9" x14ac:dyDescent="0.35">
      <c r="A11" s="44" t="s">
        <v>13</v>
      </c>
      <c r="B11" s="66" t="s">
        <v>14</v>
      </c>
      <c r="C11" s="89"/>
      <c r="D11" s="89"/>
      <c r="E11" s="90"/>
      <c r="F11" s="88"/>
      <c r="G11" s="89"/>
      <c r="H11" s="96"/>
      <c r="I11" s="108" t="s">
        <v>2707</v>
      </c>
    </row>
    <row r="12" spans="1:9" x14ac:dyDescent="0.35">
      <c r="A12" s="44" t="s">
        <v>15</v>
      </c>
      <c r="B12" s="66" t="s">
        <v>16</v>
      </c>
      <c r="C12" s="89"/>
      <c r="D12" s="89"/>
      <c r="E12" s="90"/>
      <c r="F12" s="88"/>
      <c r="G12" s="89"/>
      <c r="H12" s="96"/>
      <c r="I12" s="108" t="s">
        <v>2708</v>
      </c>
    </row>
    <row r="13" spans="1:9" x14ac:dyDescent="0.35">
      <c r="A13" s="44" t="s">
        <v>17</v>
      </c>
      <c r="B13" s="66" t="s">
        <v>18</v>
      </c>
      <c r="C13" s="89"/>
      <c r="D13" s="89"/>
      <c r="E13" s="90"/>
      <c r="F13" s="88"/>
      <c r="G13" s="89"/>
      <c r="H13" s="96"/>
      <c r="I13" s="108" t="s">
        <v>2707</v>
      </c>
    </row>
    <row r="14" spans="1:9" x14ac:dyDescent="0.35">
      <c r="A14" s="44" t="s">
        <v>486</v>
      </c>
      <c r="B14" s="66" t="s">
        <v>22</v>
      </c>
      <c r="C14" s="89"/>
      <c r="D14" s="89"/>
      <c r="E14" s="90"/>
      <c r="F14" s="88"/>
      <c r="G14" s="89"/>
      <c r="H14" s="96"/>
      <c r="I14" s="108" t="s">
        <v>2709</v>
      </c>
    </row>
    <row r="15" spans="1:9" x14ac:dyDescent="0.35">
      <c r="A15" s="44" t="s">
        <v>23</v>
      </c>
      <c r="B15" s="66" t="s">
        <v>24</v>
      </c>
      <c r="C15" s="89"/>
      <c r="D15" s="89"/>
      <c r="E15" s="90"/>
      <c r="F15" s="88"/>
      <c r="G15" s="89"/>
      <c r="H15" s="96"/>
      <c r="I15" s="108" t="s">
        <v>2707</v>
      </c>
    </row>
    <row r="16" spans="1:9" x14ac:dyDescent="0.35">
      <c r="A16" s="44" t="s">
        <v>25</v>
      </c>
      <c r="B16" s="66" t="s">
        <v>26</v>
      </c>
      <c r="C16" s="89"/>
      <c r="D16" s="89"/>
      <c r="E16" s="90"/>
      <c r="F16" s="88"/>
      <c r="G16" s="89"/>
      <c r="H16" s="96"/>
      <c r="I16" s="108" t="s">
        <v>2707</v>
      </c>
    </row>
    <row r="17" spans="1:9" x14ac:dyDescent="0.35">
      <c r="A17" s="44" t="s">
        <v>27</v>
      </c>
      <c r="B17" s="66" t="s">
        <v>28</v>
      </c>
      <c r="C17" s="89"/>
      <c r="D17" s="89"/>
      <c r="E17" s="90"/>
      <c r="F17" s="88"/>
      <c r="G17" s="89"/>
      <c r="H17" s="96"/>
      <c r="I17" s="108" t="s">
        <v>2707</v>
      </c>
    </row>
    <row r="18" spans="1:9" x14ac:dyDescent="0.35">
      <c r="A18" s="44" t="s">
        <v>186</v>
      </c>
      <c r="B18" s="66" t="s">
        <v>30</v>
      </c>
      <c r="C18" s="89"/>
      <c r="D18" s="89"/>
      <c r="E18" s="90"/>
      <c r="F18" s="88"/>
      <c r="G18" s="89"/>
      <c r="H18" s="96"/>
      <c r="I18" s="108" t="s">
        <v>2707</v>
      </c>
    </row>
    <row r="19" spans="1:9" x14ac:dyDescent="0.35">
      <c r="A19" s="44" t="s">
        <v>191</v>
      </c>
      <c r="B19" s="66" t="s">
        <v>32</v>
      </c>
      <c r="C19" s="89"/>
      <c r="D19" s="89"/>
      <c r="E19" s="90"/>
      <c r="F19" s="88"/>
      <c r="G19" s="89"/>
      <c r="H19" s="96"/>
      <c r="I19" s="124" t="s">
        <v>2710</v>
      </c>
    </row>
    <row r="20" spans="1:9" x14ac:dyDescent="0.35">
      <c r="A20" s="66" t="s">
        <v>580</v>
      </c>
      <c r="B20" s="66" t="s">
        <v>126</v>
      </c>
      <c r="C20" s="89">
        <v>0</v>
      </c>
      <c r="D20" s="89"/>
      <c r="E20" s="90"/>
      <c r="F20" s="88"/>
      <c r="G20" s="89"/>
      <c r="H20" s="96"/>
      <c r="I20" s="108" t="s">
        <v>2707</v>
      </c>
    </row>
    <row r="21" spans="1:9" x14ac:dyDescent="0.35">
      <c r="A21" s="44" t="s">
        <v>127</v>
      </c>
      <c r="B21" s="66" t="s">
        <v>128</v>
      </c>
      <c r="C21" s="89"/>
      <c r="D21" s="89"/>
      <c r="E21" s="90"/>
      <c r="F21" s="88"/>
      <c r="G21" s="89"/>
      <c r="H21" s="96"/>
      <c r="I21" s="108" t="s">
        <v>2707</v>
      </c>
    </row>
    <row r="22" spans="1:9" x14ac:dyDescent="0.35">
      <c r="A22" s="44" t="s">
        <v>129</v>
      </c>
      <c r="B22" s="66" t="s">
        <v>130</v>
      </c>
      <c r="C22" s="89"/>
      <c r="D22" s="89"/>
      <c r="E22" s="90"/>
      <c r="F22" s="88"/>
      <c r="G22" s="89"/>
      <c r="H22" s="96"/>
      <c r="I22" s="108" t="s">
        <v>2707</v>
      </c>
    </row>
    <row r="23" spans="1:9" x14ac:dyDescent="0.35">
      <c r="A23" s="44" t="s">
        <v>131</v>
      </c>
      <c r="B23" s="66" t="s">
        <v>132</v>
      </c>
      <c r="C23" s="89"/>
      <c r="D23" s="89"/>
      <c r="E23" s="90"/>
      <c r="F23" s="88"/>
      <c r="G23" s="89"/>
      <c r="H23" s="96"/>
      <c r="I23" s="108" t="s">
        <v>2707</v>
      </c>
    </row>
    <row r="24" spans="1:9" x14ac:dyDescent="0.35">
      <c r="A24" s="44" t="s">
        <v>133</v>
      </c>
      <c r="B24" s="66" t="s">
        <v>134</v>
      </c>
      <c r="C24" s="89"/>
      <c r="D24" s="89"/>
      <c r="E24" s="90"/>
      <c r="F24" s="88"/>
      <c r="G24" s="89"/>
      <c r="H24" s="96"/>
      <c r="I24" s="108" t="s">
        <v>2707</v>
      </c>
    </row>
    <row r="25" spans="1:9" x14ac:dyDescent="0.35">
      <c r="A25" s="44" t="s">
        <v>135</v>
      </c>
      <c r="B25" s="66" t="s">
        <v>136</v>
      </c>
      <c r="C25" s="89"/>
      <c r="D25" s="89"/>
      <c r="E25" s="90"/>
      <c r="F25" s="88"/>
      <c r="G25" s="89"/>
      <c r="H25" s="96"/>
      <c r="I25" s="108" t="s">
        <v>2711</v>
      </c>
    </row>
    <row r="26" spans="1:9" x14ac:dyDescent="0.35">
      <c r="A26" s="44" t="s">
        <v>137</v>
      </c>
      <c r="B26" s="66" t="s">
        <v>138</v>
      </c>
      <c r="C26" s="89"/>
      <c r="D26" s="89"/>
      <c r="E26" s="90"/>
      <c r="F26" s="88"/>
      <c r="G26" s="89"/>
      <c r="H26" s="96"/>
      <c r="I26" s="108" t="s">
        <v>2712</v>
      </c>
    </row>
    <row r="27" spans="1:9" x14ac:dyDescent="0.35">
      <c r="A27" s="44" t="s">
        <v>140</v>
      </c>
      <c r="B27" s="66" t="s">
        <v>141</v>
      </c>
      <c r="C27" s="89"/>
      <c r="D27" s="89"/>
      <c r="E27" s="90"/>
      <c r="F27" s="88"/>
      <c r="G27" s="89"/>
      <c r="H27" s="96"/>
      <c r="I27" s="108" t="s">
        <v>2707</v>
      </c>
    </row>
    <row r="28" spans="1:9" x14ac:dyDescent="0.35">
      <c r="A28" s="44" t="s">
        <v>142</v>
      </c>
      <c r="B28" s="66" t="s">
        <v>143</v>
      </c>
      <c r="C28" s="89"/>
      <c r="D28" s="89"/>
      <c r="E28" s="90"/>
      <c r="F28" s="88"/>
      <c r="G28" s="89"/>
      <c r="H28" s="96"/>
      <c r="I28" s="108" t="s">
        <v>2706</v>
      </c>
    </row>
    <row r="29" spans="1:9" x14ac:dyDescent="0.35">
      <c r="A29" s="44" t="s">
        <v>144</v>
      </c>
      <c r="B29" s="66" t="s">
        <v>145</v>
      </c>
      <c r="C29" s="89"/>
      <c r="D29" s="89"/>
      <c r="E29" s="90"/>
      <c r="F29" s="88"/>
      <c r="G29" s="89"/>
      <c r="H29" s="96"/>
      <c r="I29" s="108" t="s">
        <v>2713</v>
      </c>
    </row>
    <row r="30" spans="1:9" x14ac:dyDescent="0.35">
      <c r="A30" s="44" t="s">
        <v>146</v>
      </c>
      <c r="B30" s="66" t="s">
        <v>147</v>
      </c>
      <c r="C30" s="89"/>
      <c r="D30" s="89"/>
      <c r="E30" s="90"/>
      <c r="F30" s="88"/>
      <c r="G30" s="89"/>
      <c r="H30" s="96"/>
      <c r="I30" s="108" t="s">
        <v>2706</v>
      </c>
    </row>
    <row r="31" spans="1:9" x14ac:dyDescent="0.35">
      <c r="A31" s="44" t="s">
        <v>148</v>
      </c>
      <c r="B31" s="66" t="s">
        <v>149</v>
      </c>
      <c r="C31" s="89"/>
      <c r="D31" s="89"/>
      <c r="E31" s="90"/>
      <c r="F31" s="88"/>
      <c r="G31" s="89"/>
      <c r="H31" s="96"/>
      <c r="I31" s="108" t="s">
        <v>2706</v>
      </c>
    </row>
    <row r="32" spans="1:9" x14ac:dyDescent="0.35">
      <c r="A32" s="44" t="s">
        <v>150</v>
      </c>
      <c r="B32" s="66" t="s">
        <v>151</v>
      </c>
      <c r="C32" s="89"/>
      <c r="D32" s="89"/>
      <c r="E32" s="90"/>
      <c r="F32" s="88"/>
      <c r="G32" s="89"/>
      <c r="H32" s="96"/>
      <c r="I32" s="108" t="s">
        <v>2713</v>
      </c>
    </row>
    <row r="33" spans="1:9" x14ac:dyDescent="0.35">
      <c r="A33" s="44" t="s">
        <v>152</v>
      </c>
      <c r="B33" s="66" t="s">
        <v>153</v>
      </c>
      <c r="C33" s="89"/>
      <c r="D33" s="89"/>
      <c r="E33" s="90"/>
      <c r="F33" s="88"/>
      <c r="G33" s="89"/>
      <c r="H33" s="96"/>
      <c r="I33" s="108" t="s">
        <v>2713</v>
      </c>
    </row>
    <row r="34" spans="1:9" x14ac:dyDescent="0.35">
      <c r="A34" s="44" t="s">
        <v>154</v>
      </c>
      <c r="B34" s="66" t="s">
        <v>2738</v>
      </c>
      <c r="C34" s="89"/>
      <c r="D34" s="89"/>
      <c r="E34" s="90"/>
      <c r="F34" s="88"/>
      <c r="G34" s="89"/>
      <c r="H34" s="96"/>
      <c r="I34" s="108" t="s">
        <v>2707</v>
      </c>
    </row>
    <row r="35" spans="1:9" x14ac:dyDescent="0.35">
      <c r="A35" s="44" t="s">
        <v>156</v>
      </c>
      <c r="B35" s="66" t="s">
        <v>157</v>
      </c>
      <c r="C35" s="89"/>
      <c r="D35" s="89"/>
      <c r="E35" s="90"/>
      <c r="F35" s="88"/>
      <c r="G35" s="89"/>
      <c r="H35" s="96"/>
      <c r="I35" s="108" t="s">
        <v>2708</v>
      </c>
    </row>
    <row r="36" spans="1:9" x14ac:dyDescent="0.35">
      <c r="A36" s="44" t="s">
        <v>158</v>
      </c>
      <c r="B36" s="66" t="s">
        <v>159</v>
      </c>
      <c r="C36" s="89"/>
      <c r="D36" s="89"/>
      <c r="E36" s="90"/>
      <c r="F36" s="88"/>
      <c r="G36" s="89"/>
      <c r="H36" s="96"/>
      <c r="I36" s="108" t="s">
        <v>2707</v>
      </c>
    </row>
    <row r="37" spans="1:9" x14ac:dyDescent="0.35">
      <c r="A37" s="44" t="s">
        <v>160</v>
      </c>
      <c r="B37" s="66" t="s">
        <v>2609</v>
      </c>
      <c r="C37" s="89"/>
      <c r="D37" s="89"/>
      <c r="E37" s="90"/>
      <c r="F37" s="88"/>
      <c r="G37" s="89"/>
      <c r="H37" s="96"/>
      <c r="I37" s="108" t="s">
        <v>2708</v>
      </c>
    </row>
    <row r="38" spans="1:9" x14ac:dyDescent="0.35">
      <c r="A38" s="44" t="s">
        <v>162</v>
      </c>
      <c r="B38" s="66" t="s">
        <v>163</v>
      </c>
      <c r="C38" s="89"/>
      <c r="D38" s="89"/>
      <c r="E38" s="90"/>
      <c r="F38" s="88"/>
      <c r="G38" s="89"/>
      <c r="H38" s="96"/>
      <c r="I38" s="108" t="s">
        <v>2714</v>
      </c>
    </row>
    <row r="39" spans="1:9" x14ac:dyDescent="0.35">
      <c r="A39" s="44" t="s">
        <v>164</v>
      </c>
      <c r="B39" s="66" t="s">
        <v>165</v>
      </c>
      <c r="C39" s="89"/>
      <c r="D39" s="89"/>
      <c r="E39" s="90"/>
      <c r="F39" s="88"/>
      <c r="G39" s="89"/>
      <c r="H39" s="96"/>
      <c r="I39" s="108" t="s">
        <v>2708</v>
      </c>
    </row>
    <row r="40" spans="1:9" x14ac:dyDescent="0.35">
      <c r="A40" s="44" t="s">
        <v>166</v>
      </c>
      <c r="B40" s="66" t="s">
        <v>167</v>
      </c>
      <c r="C40" s="89"/>
      <c r="D40" s="89"/>
      <c r="E40" s="90"/>
      <c r="F40" s="88"/>
      <c r="G40" s="89"/>
      <c r="H40" s="96"/>
      <c r="I40" s="108" t="s">
        <v>2708</v>
      </c>
    </row>
    <row r="41" spans="1:9" x14ac:dyDescent="0.35">
      <c r="A41" s="44" t="s">
        <v>168</v>
      </c>
      <c r="B41" s="66" t="s">
        <v>169</v>
      </c>
      <c r="C41" s="89"/>
      <c r="D41" s="89"/>
      <c r="E41" s="90"/>
      <c r="F41" s="88"/>
      <c r="G41" s="89"/>
      <c r="H41" s="96"/>
      <c r="I41" s="108" t="s">
        <v>2708</v>
      </c>
    </row>
    <row r="42" spans="1:9" x14ac:dyDescent="0.35">
      <c r="A42" s="44" t="s">
        <v>170</v>
      </c>
      <c r="B42" s="66" t="s">
        <v>171</v>
      </c>
      <c r="C42" s="89"/>
      <c r="D42" s="89"/>
      <c r="E42" s="90"/>
      <c r="F42" s="88"/>
      <c r="G42" s="89"/>
      <c r="H42" s="96"/>
      <c r="I42" s="108" t="s">
        <v>2714</v>
      </c>
    </row>
    <row r="43" spans="1:9" x14ac:dyDescent="0.35">
      <c r="A43" s="44" t="s">
        <v>172</v>
      </c>
      <c r="B43" s="66" t="s">
        <v>173</v>
      </c>
      <c r="C43" s="89"/>
      <c r="D43" s="89"/>
      <c r="E43" s="90"/>
      <c r="F43" s="88"/>
      <c r="G43" s="89"/>
      <c r="H43" s="96"/>
      <c r="I43" s="108" t="s">
        <v>2714</v>
      </c>
    </row>
    <row r="44" spans="1:9" x14ac:dyDescent="0.35">
      <c r="A44" s="44" t="s">
        <v>174</v>
      </c>
      <c r="B44" s="66" t="s">
        <v>175</v>
      </c>
      <c r="C44" s="89"/>
      <c r="D44" s="89"/>
      <c r="E44" s="90"/>
      <c r="F44" s="88"/>
      <c r="G44" s="89"/>
      <c r="H44" s="96"/>
      <c r="I44" s="108" t="s">
        <v>2714</v>
      </c>
    </row>
    <row r="45" spans="1:9" x14ac:dyDescent="0.35">
      <c r="A45" s="44" t="s">
        <v>176</v>
      </c>
      <c r="B45" s="66" t="s">
        <v>177</v>
      </c>
      <c r="C45" s="89"/>
      <c r="D45" s="89"/>
      <c r="E45" s="90"/>
      <c r="F45" s="88"/>
      <c r="G45" s="89"/>
      <c r="H45" s="96"/>
      <c r="I45" s="108" t="s">
        <v>2707</v>
      </c>
    </row>
    <row r="46" spans="1:9" x14ac:dyDescent="0.35">
      <c r="A46" s="44" t="s">
        <v>178</v>
      </c>
      <c r="B46" s="66" t="s">
        <v>179</v>
      </c>
      <c r="C46" s="89"/>
      <c r="D46" s="89"/>
      <c r="E46" s="90"/>
      <c r="F46" s="88"/>
      <c r="G46" s="89"/>
      <c r="H46" s="96"/>
      <c r="I46" s="108" t="s">
        <v>2707</v>
      </c>
    </row>
    <row r="47" spans="1:9" x14ac:dyDescent="0.35">
      <c r="A47" s="44" t="s">
        <v>180</v>
      </c>
      <c r="B47" s="66" t="s">
        <v>181</v>
      </c>
      <c r="C47" s="89"/>
      <c r="D47" s="89"/>
      <c r="E47" s="90"/>
      <c r="F47" s="88"/>
      <c r="G47" s="89"/>
      <c r="H47" s="96"/>
      <c r="I47" s="108" t="s">
        <v>2707</v>
      </c>
    </row>
    <row r="48" spans="1:9" x14ac:dyDescent="0.35">
      <c r="A48" s="44" t="s">
        <v>182</v>
      </c>
      <c r="B48" s="66" t="s">
        <v>183</v>
      </c>
      <c r="C48" s="89"/>
      <c r="D48" s="89"/>
      <c r="E48" s="90"/>
      <c r="F48" s="88"/>
      <c r="G48" s="89"/>
      <c r="H48" s="96"/>
      <c r="I48" s="108" t="s">
        <v>2707</v>
      </c>
    </row>
    <row r="49" spans="1:11" x14ac:dyDescent="0.35">
      <c r="A49" s="44" t="s">
        <v>184</v>
      </c>
      <c r="B49" s="66" t="s">
        <v>185</v>
      </c>
      <c r="C49" s="89"/>
      <c r="D49" s="89"/>
      <c r="E49" s="90"/>
      <c r="F49" s="88"/>
      <c r="G49" s="89"/>
      <c r="H49" s="96"/>
      <c r="I49" s="108" t="s">
        <v>2707</v>
      </c>
    </row>
    <row r="50" spans="1:11" x14ac:dyDescent="0.35">
      <c r="A50" s="44" t="s">
        <v>187</v>
      </c>
      <c r="B50" s="66" t="s">
        <v>188</v>
      </c>
      <c r="C50" s="89"/>
      <c r="D50" s="89"/>
      <c r="E50" s="90"/>
      <c r="F50" s="88"/>
      <c r="G50" s="89"/>
      <c r="H50" s="96"/>
      <c r="I50" s="108" t="s">
        <v>2707</v>
      </c>
    </row>
    <row r="51" spans="1:11" x14ac:dyDescent="0.35">
      <c r="A51" s="44" t="s">
        <v>189</v>
      </c>
      <c r="B51" s="66" t="s">
        <v>190</v>
      </c>
      <c r="C51" s="89"/>
      <c r="D51" s="89"/>
      <c r="E51" s="90"/>
      <c r="F51" s="88"/>
      <c r="G51" s="89"/>
      <c r="H51" s="96"/>
      <c r="I51" s="108" t="s">
        <v>2707</v>
      </c>
    </row>
    <row r="52" spans="1:11" x14ac:dyDescent="0.35">
      <c r="A52" s="44" t="s">
        <v>276</v>
      </c>
      <c r="B52" s="66" t="s">
        <v>277</v>
      </c>
      <c r="C52" s="89"/>
      <c r="D52" s="89"/>
      <c r="E52" s="90"/>
      <c r="F52" s="88"/>
      <c r="G52" s="89"/>
      <c r="H52" s="96"/>
      <c r="I52" s="108" t="s">
        <v>2715</v>
      </c>
    </row>
    <row r="53" spans="1:11" x14ac:dyDescent="0.35">
      <c r="A53" s="44" t="s">
        <v>278</v>
      </c>
      <c r="B53" s="66" t="s">
        <v>279</v>
      </c>
      <c r="C53" s="89"/>
      <c r="D53" s="89"/>
      <c r="E53" s="90"/>
      <c r="F53" s="88"/>
      <c r="G53" s="89"/>
      <c r="H53" s="96"/>
      <c r="I53" s="108" t="s">
        <v>2715</v>
      </c>
    </row>
    <row r="54" spans="1:11" x14ac:dyDescent="0.35">
      <c r="A54" s="44" t="s">
        <v>280</v>
      </c>
      <c r="B54" s="66" t="s">
        <v>281</v>
      </c>
      <c r="C54" s="89"/>
      <c r="D54" s="89"/>
      <c r="E54" s="90"/>
      <c r="F54" s="88"/>
      <c r="G54" s="89"/>
      <c r="H54" s="96"/>
      <c r="I54" s="108" t="s">
        <v>2747</v>
      </c>
    </row>
    <row r="55" spans="1:11" x14ac:dyDescent="0.35">
      <c r="A55" s="44" t="s">
        <v>282</v>
      </c>
      <c r="B55" s="66" t="s">
        <v>283</v>
      </c>
      <c r="C55" s="89"/>
      <c r="D55" s="89"/>
      <c r="E55" s="90"/>
      <c r="F55" s="88"/>
      <c r="G55" s="89"/>
      <c r="H55" s="96"/>
      <c r="I55" s="108" t="s">
        <v>2715</v>
      </c>
    </row>
    <row r="56" spans="1:11" x14ac:dyDescent="0.35">
      <c r="A56" s="44" t="s">
        <v>284</v>
      </c>
      <c r="B56" s="66" t="s">
        <v>285</v>
      </c>
      <c r="C56" s="89"/>
      <c r="D56" s="89"/>
      <c r="E56" s="90"/>
      <c r="F56" s="88"/>
      <c r="G56" s="89"/>
      <c r="H56" s="96"/>
      <c r="I56" s="108" t="s">
        <v>2715</v>
      </c>
    </row>
    <row r="57" spans="1:11" x14ac:dyDescent="0.35">
      <c r="A57" s="44" t="s">
        <v>286</v>
      </c>
      <c r="B57" s="66" t="s">
        <v>287</v>
      </c>
      <c r="C57" s="89"/>
      <c r="D57" s="89"/>
      <c r="E57" s="90"/>
      <c r="F57" s="88"/>
      <c r="G57" s="89"/>
      <c r="H57" s="96"/>
      <c r="I57" s="108" t="s">
        <v>2715</v>
      </c>
    </row>
    <row r="58" spans="1:11" x14ac:dyDescent="0.35">
      <c r="A58" s="44" t="s">
        <v>288</v>
      </c>
      <c r="B58" s="66" t="s">
        <v>289</v>
      </c>
      <c r="C58" s="89"/>
      <c r="D58" s="89"/>
      <c r="E58" s="90"/>
      <c r="F58" s="88"/>
      <c r="G58" s="89"/>
      <c r="H58" s="96"/>
      <c r="I58" s="108" t="s">
        <v>2712</v>
      </c>
    </row>
    <row r="59" spans="1:11" x14ac:dyDescent="0.35">
      <c r="A59" s="44" t="s">
        <v>290</v>
      </c>
      <c r="B59" s="66" t="s">
        <v>291</v>
      </c>
      <c r="C59" s="89"/>
      <c r="D59" s="89"/>
      <c r="E59" s="90"/>
      <c r="F59" s="88"/>
      <c r="G59" s="89"/>
      <c r="H59" s="96"/>
      <c r="I59" s="108" t="s">
        <v>2707</v>
      </c>
      <c r="J59" s="30"/>
      <c r="K59" s="30"/>
    </row>
    <row r="60" spans="1:11" x14ac:dyDescent="0.35">
      <c r="A60" s="44" t="s">
        <v>292</v>
      </c>
      <c r="B60" s="66" t="s">
        <v>293</v>
      </c>
      <c r="C60" s="89"/>
      <c r="D60" s="89"/>
      <c r="E60" s="90"/>
      <c r="F60" s="88"/>
      <c r="G60" s="89"/>
      <c r="H60" s="96"/>
      <c r="I60" s="108" t="s">
        <v>2707</v>
      </c>
      <c r="J60" s="30"/>
      <c r="K60" s="30"/>
    </row>
    <row r="61" spans="1:11" x14ac:dyDescent="0.35">
      <c r="A61" s="44" t="s">
        <v>314</v>
      </c>
      <c r="B61" s="66" t="s">
        <v>315</v>
      </c>
      <c r="C61" s="66"/>
      <c r="D61" s="66"/>
      <c r="E61" s="90"/>
      <c r="F61" s="88"/>
      <c r="G61" s="89"/>
      <c r="H61" s="96"/>
      <c r="I61" s="108" t="s">
        <v>2707</v>
      </c>
      <c r="J61" s="114"/>
      <c r="K61" s="30"/>
    </row>
    <row r="62" spans="1:11" x14ac:dyDescent="0.35">
      <c r="A62" s="44" t="s">
        <v>316</v>
      </c>
      <c r="B62" s="66" t="s">
        <v>317</v>
      </c>
      <c r="C62" s="89"/>
      <c r="D62" s="66"/>
      <c r="E62" s="90"/>
      <c r="F62" s="88"/>
      <c r="G62" s="89"/>
      <c r="H62" s="96"/>
      <c r="I62" s="108" t="s">
        <v>2707</v>
      </c>
      <c r="J62" s="114"/>
      <c r="K62" s="30"/>
    </row>
    <row r="63" spans="1:11" x14ac:dyDescent="0.35">
      <c r="A63" s="44" t="s">
        <v>383</v>
      </c>
      <c r="B63" s="66" t="s">
        <v>384</v>
      </c>
      <c r="C63" s="89"/>
      <c r="D63" s="89"/>
      <c r="E63" s="90"/>
      <c r="F63" s="88"/>
      <c r="G63" s="89"/>
      <c r="H63" s="96"/>
      <c r="I63" s="108" t="s">
        <v>2716</v>
      </c>
      <c r="K63" s="30"/>
    </row>
    <row r="64" spans="1:11" x14ac:dyDescent="0.35">
      <c r="A64" s="44" t="s">
        <v>386</v>
      </c>
      <c r="B64" s="66" t="s">
        <v>387</v>
      </c>
      <c r="C64" s="89"/>
      <c r="D64" s="89"/>
      <c r="E64" s="90"/>
      <c r="F64" s="88"/>
      <c r="G64" s="89"/>
      <c r="H64" s="96"/>
      <c r="I64" s="108" t="s">
        <v>2707</v>
      </c>
      <c r="K64" s="30"/>
    </row>
    <row r="65" spans="1:9" x14ac:dyDescent="0.35">
      <c r="A65" s="44" t="s">
        <v>388</v>
      </c>
      <c r="B65" s="66" t="s">
        <v>2670</v>
      </c>
      <c r="C65" s="89"/>
      <c r="D65" s="89"/>
      <c r="E65" s="90"/>
      <c r="F65" s="88"/>
      <c r="G65" s="89"/>
      <c r="H65" s="96"/>
      <c r="I65" s="108" t="s">
        <v>2708</v>
      </c>
    </row>
    <row r="66" spans="1:9" x14ac:dyDescent="0.35">
      <c r="A66" s="44" t="s">
        <v>390</v>
      </c>
      <c r="B66" s="66" t="s">
        <v>391</v>
      </c>
      <c r="C66" s="89"/>
      <c r="D66" s="89"/>
      <c r="E66" s="90"/>
      <c r="F66" s="88"/>
      <c r="G66" s="89"/>
      <c r="H66" s="96"/>
      <c r="I66" s="108" t="s">
        <v>2707</v>
      </c>
    </row>
    <row r="67" spans="1:9" x14ac:dyDescent="0.35">
      <c r="A67" s="44" t="s">
        <v>423</v>
      </c>
      <c r="B67" s="66" t="s">
        <v>424</v>
      </c>
      <c r="C67" s="89"/>
      <c r="D67" s="89"/>
      <c r="E67" s="90"/>
      <c r="F67" s="88"/>
      <c r="G67" s="89"/>
      <c r="H67" s="96"/>
      <c r="I67" s="108" t="s">
        <v>2716</v>
      </c>
    </row>
    <row r="68" spans="1:9" x14ac:dyDescent="0.35">
      <c r="A68" s="44" t="s">
        <v>445</v>
      </c>
      <c r="B68" s="66" t="s">
        <v>446</v>
      </c>
      <c r="C68" s="89"/>
      <c r="D68" s="89"/>
      <c r="E68" s="90"/>
      <c r="F68" s="88"/>
      <c r="G68" s="89"/>
      <c r="H68" s="96"/>
      <c r="I68" s="108" t="s">
        <v>2716</v>
      </c>
    </row>
    <row r="69" spans="1:9" x14ac:dyDescent="0.35">
      <c r="A69" s="44" t="s">
        <v>447</v>
      </c>
      <c r="B69" s="66" t="s">
        <v>448</v>
      </c>
      <c r="C69" s="89"/>
      <c r="D69" s="89"/>
      <c r="E69" s="90"/>
      <c r="F69" s="88"/>
      <c r="G69" s="89"/>
      <c r="H69" s="96"/>
      <c r="I69" s="108" t="s">
        <v>2716</v>
      </c>
    </row>
    <row r="70" spans="1:9" x14ac:dyDescent="0.35">
      <c r="A70" s="44" t="s">
        <v>512</v>
      </c>
      <c r="B70" s="66" t="s">
        <v>513</v>
      </c>
      <c r="C70" s="89"/>
      <c r="D70" s="89"/>
      <c r="E70" s="90"/>
      <c r="F70" s="88"/>
      <c r="G70" s="89"/>
      <c r="H70" s="96"/>
      <c r="I70" s="108" t="s">
        <v>2707</v>
      </c>
    </row>
    <row r="71" spans="1:9" x14ac:dyDescent="0.35">
      <c r="A71" s="44" t="s">
        <v>514</v>
      </c>
      <c r="B71" s="66" t="s">
        <v>515</v>
      </c>
      <c r="C71" s="89"/>
      <c r="D71" s="89"/>
      <c r="E71" s="90"/>
      <c r="F71" s="88"/>
      <c r="G71" s="89"/>
      <c r="H71" s="96"/>
      <c r="I71" s="108" t="s">
        <v>2716</v>
      </c>
    </row>
    <row r="72" spans="1:9" x14ac:dyDescent="0.35">
      <c r="A72" s="44" t="s">
        <v>517</v>
      </c>
      <c r="B72" s="66" t="s">
        <v>518</v>
      </c>
      <c r="C72" s="89"/>
      <c r="D72" s="89"/>
      <c r="E72" s="90"/>
      <c r="F72" s="88"/>
      <c r="G72" s="89"/>
      <c r="H72" s="96"/>
      <c r="I72" s="108" t="s">
        <v>2707</v>
      </c>
    </row>
    <row r="73" spans="1:9" x14ac:dyDescent="0.35">
      <c r="A73" s="44" t="s">
        <v>579</v>
      </c>
      <c r="B73" s="66" t="s">
        <v>281</v>
      </c>
      <c r="C73" s="66"/>
      <c r="D73" s="66"/>
      <c r="E73" s="101"/>
      <c r="F73" s="44"/>
      <c r="G73" s="66"/>
      <c r="H73" s="97"/>
      <c r="I73" s="108" t="s">
        <v>2707</v>
      </c>
    </row>
    <row r="74" spans="1:9" x14ac:dyDescent="0.35">
      <c r="A74" s="44" t="s">
        <v>582</v>
      </c>
      <c r="B74" s="66" t="s">
        <v>371</v>
      </c>
      <c r="C74" s="66"/>
      <c r="D74" s="66"/>
      <c r="E74" s="101"/>
      <c r="F74" s="44"/>
      <c r="G74" s="66"/>
      <c r="H74" s="97"/>
      <c r="I74" s="108" t="s">
        <v>2707</v>
      </c>
    </row>
    <row r="75" spans="1:9" x14ac:dyDescent="0.35">
      <c r="A75" s="44" t="s">
        <v>583</v>
      </c>
      <c r="B75" s="66" t="s">
        <v>2671</v>
      </c>
      <c r="C75" s="66"/>
      <c r="D75" s="66"/>
      <c r="E75" s="101"/>
      <c r="F75" s="44"/>
      <c r="G75" s="66"/>
      <c r="H75" s="97"/>
      <c r="I75" s="108" t="s">
        <v>2707</v>
      </c>
    </row>
    <row r="76" spans="1:9" x14ac:dyDescent="0.35">
      <c r="A76" s="44" t="s">
        <v>701</v>
      </c>
      <c r="B76" s="66" t="s">
        <v>702</v>
      </c>
      <c r="C76" s="66"/>
      <c r="D76" s="66"/>
      <c r="E76" s="101"/>
      <c r="F76" s="44"/>
      <c r="G76" s="66"/>
      <c r="H76" s="97"/>
      <c r="I76" s="108" t="s">
        <v>2717</v>
      </c>
    </row>
    <row r="77" spans="1:9" x14ac:dyDescent="0.35">
      <c r="A77" s="44" t="s">
        <v>703</v>
      </c>
      <c r="B77" s="66" t="s">
        <v>704</v>
      </c>
      <c r="C77" s="66"/>
      <c r="D77" s="66"/>
      <c r="E77" s="101"/>
      <c r="F77" s="44"/>
      <c r="G77" s="66"/>
      <c r="H77" s="97"/>
      <c r="I77" s="108" t="s">
        <v>2717</v>
      </c>
    </row>
    <row r="78" spans="1:9" x14ac:dyDescent="0.35">
      <c r="A78" s="44" t="s">
        <v>705</v>
      </c>
      <c r="B78" s="66" t="s">
        <v>706</v>
      </c>
      <c r="C78" s="66"/>
      <c r="D78" s="66"/>
      <c r="E78" s="101"/>
      <c r="F78" s="44"/>
      <c r="G78" s="66"/>
      <c r="H78" s="97"/>
      <c r="I78" s="108" t="s">
        <v>2717</v>
      </c>
    </row>
    <row r="79" spans="1:9" x14ac:dyDescent="0.35">
      <c r="A79" s="44" t="s">
        <v>707</v>
      </c>
      <c r="B79" s="66" t="s">
        <v>708</v>
      </c>
      <c r="C79" s="66"/>
      <c r="D79" s="66"/>
      <c r="E79" s="101"/>
      <c r="F79" s="44"/>
      <c r="G79" s="66"/>
      <c r="H79" s="97"/>
      <c r="I79" s="108" t="s">
        <v>2707</v>
      </c>
    </row>
    <row r="80" spans="1:9" x14ac:dyDescent="0.35">
      <c r="A80" s="44" t="s">
        <v>709</v>
      </c>
      <c r="B80" s="66" t="s">
        <v>2669</v>
      </c>
      <c r="C80" s="66"/>
      <c r="D80" s="66"/>
      <c r="E80" s="101"/>
      <c r="F80" s="44"/>
      <c r="G80" s="66"/>
      <c r="H80" s="97"/>
      <c r="I80" s="108" t="s">
        <v>2707</v>
      </c>
    </row>
    <row r="81" spans="1:9" x14ac:dyDescent="0.35">
      <c r="A81" s="44"/>
      <c r="B81" s="66" t="s">
        <v>2664</v>
      </c>
      <c r="C81" s="66"/>
      <c r="D81" s="66"/>
      <c r="E81" s="101"/>
      <c r="F81" s="44"/>
      <c r="G81" s="66"/>
      <c r="H81" s="97"/>
      <c r="I81" s="108" t="s">
        <v>2707</v>
      </c>
    </row>
    <row r="82" spans="1:9" x14ac:dyDescent="0.35">
      <c r="A82" s="44"/>
      <c r="B82" s="66" t="s">
        <v>2665</v>
      </c>
      <c r="C82" s="66"/>
      <c r="D82" s="66"/>
      <c r="E82" s="101"/>
      <c r="F82" s="44"/>
      <c r="G82" s="66"/>
      <c r="H82" s="97"/>
      <c r="I82" s="108" t="s">
        <v>2707</v>
      </c>
    </row>
    <row r="83" spans="1:9" x14ac:dyDescent="0.35">
      <c r="A83" s="44" t="s">
        <v>713</v>
      </c>
      <c r="B83" s="66" t="s">
        <v>714</v>
      </c>
      <c r="C83" s="66"/>
      <c r="D83" s="66"/>
      <c r="E83" s="101"/>
      <c r="F83" s="44"/>
      <c r="G83" s="66"/>
      <c r="H83" s="97"/>
      <c r="I83" s="108" t="s">
        <v>2707</v>
      </c>
    </row>
    <row r="84" spans="1:9" x14ac:dyDescent="0.35">
      <c r="A84" s="44" t="s">
        <v>763</v>
      </c>
      <c r="B84" s="66" t="s">
        <v>764</v>
      </c>
      <c r="C84" s="66"/>
      <c r="D84" s="66"/>
      <c r="E84" s="101"/>
      <c r="F84" s="44"/>
      <c r="G84" s="66"/>
      <c r="H84" s="97"/>
      <c r="I84" s="108" t="s">
        <v>2718</v>
      </c>
    </row>
    <row r="85" spans="1:9" x14ac:dyDescent="0.35">
      <c r="A85" s="44" t="s">
        <v>765</v>
      </c>
      <c r="B85" s="66" t="s">
        <v>766</v>
      </c>
      <c r="C85" s="66"/>
      <c r="D85" s="66"/>
      <c r="E85" s="101"/>
      <c r="F85" s="44"/>
      <c r="G85" s="66"/>
      <c r="H85" s="97"/>
      <c r="I85" s="108" t="s">
        <v>2718</v>
      </c>
    </row>
    <row r="86" spans="1:9" x14ac:dyDescent="0.35">
      <c r="A86" s="44" t="s">
        <v>767</v>
      </c>
      <c r="B86" s="66" t="s">
        <v>768</v>
      </c>
      <c r="C86" s="66"/>
      <c r="D86" s="66"/>
      <c r="E86" s="101"/>
      <c r="F86" s="44"/>
      <c r="G86" s="66"/>
      <c r="H86" s="97"/>
      <c r="I86" s="108" t="s">
        <v>2707</v>
      </c>
    </row>
    <row r="87" spans="1:9" x14ac:dyDescent="0.35">
      <c r="A87" s="44" t="s">
        <v>769</v>
      </c>
      <c r="B87" s="66" t="s">
        <v>770</v>
      </c>
      <c r="C87" s="66"/>
      <c r="D87" s="66"/>
      <c r="E87" s="101"/>
      <c r="F87" s="44"/>
      <c r="G87" s="66"/>
      <c r="H87" s="97"/>
      <c r="I87" s="108" t="s">
        <v>2707</v>
      </c>
    </row>
    <row r="88" spans="1:9" x14ac:dyDescent="0.35">
      <c r="A88" s="44"/>
      <c r="B88" s="66" t="s">
        <v>2637</v>
      </c>
      <c r="C88" s="66"/>
      <c r="D88" s="66"/>
      <c r="E88" s="101"/>
      <c r="F88" s="44"/>
      <c r="G88" s="66"/>
      <c r="H88" s="97"/>
      <c r="I88" s="108" t="s">
        <v>2707</v>
      </c>
    </row>
    <row r="89" spans="1:9" x14ac:dyDescent="0.35">
      <c r="A89" s="44"/>
      <c r="B89" s="66" t="s">
        <v>2666</v>
      </c>
      <c r="C89" s="66"/>
      <c r="D89" s="66"/>
      <c r="E89" s="101"/>
      <c r="F89" s="44"/>
      <c r="G89" s="66"/>
      <c r="H89" s="97"/>
      <c r="I89" s="108" t="s">
        <v>2707</v>
      </c>
    </row>
    <row r="90" spans="1:9" x14ac:dyDescent="0.35">
      <c r="A90" s="44"/>
      <c r="B90" s="66" t="s">
        <v>2667</v>
      </c>
      <c r="C90" s="66"/>
      <c r="D90" s="66"/>
      <c r="E90" s="101"/>
      <c r="F90" s="44"/>
      <c r="G90" s="66"/>
      <c r="H90" s="97"/>
      <c r="I90" s="108" t="s">
        <v>2707</v>
      </c>
    </row>
    <row r="91" spans="1:9" x14ac:dyDescent="0.35">
      <c r="A91" s="44" t="s">
        <v>812</v>
      </c>
      <c r="B91" s="66" t="s">
        <v>813</v>
      </c>
      <c r="C91" s="66"/>
      <c r="D91" s="66"/>
      <c r="E91" s="101"/>
      <c r="F91" s="44"/>
      <c r="G91" s="66"/>
      <c r="H91" s="97"/>
      <c r="I91" s="108" t="s">
        <v>2719</v>
      </c>
    </row>
    <row r="92" spans="1:9" x14ac:dyDescent="0.35">
      <c r="A92" s="44" t="s">
        <v>814</v>
      </c>
      <c r="B92" s="66" t="s">
        <v>815</v>
      </c>
      <c r="C92" s="66"/>
      <c r="D92" s="66"/>
      <c r="E92" s="101"/>
      <c r="F92" s="44"/>
      <c r="G92" s="66"/>
      <c r="H92" s="97"/>
      <c r="I92" s="108" t="s">
        <v>2719</v>
      </c>
    </row>
    <row r="93" spans="1:9" x14ac:dyDescent="0.35">
      <c r="A93" s="44"/>
      <c r="B93" s="66" t="s">
        <v>2668</v>
      </c>
      <c r="C93" s="66"/>
      <c r="D93" s="66"/>
      <c r="E93" s="101"/>
      <c r="F93" s="44"/>
      <c r="G93" s="66"/>
      <c r="H93" s="97"/>
      <c r="I93" s="108" t="s">
        <v>2707</v>
      </c>
    </row>
    <row r="94" spans="1:9" x14ac:dyDescent="0.35">
      <c r="A94" s="44" t="s">
        <v>808</v>
      </c>
      <c r="B94" s="66" t="s">
        <v>809</v>
      </c>
      <c r="C94" s="66"/>
      <c r="D94" s="66"/>
      <c r="E94" s="101"/>
      <c r="F94" s="44"/>
      <c r="G94" s="66"/>
      <c r="H94" s="97"/>
      <c r="I94" s="108" t="s">
        <v>2720</v>
      </c>
    </row>
    <row r="95" spans="1:9" x14ac:dyDescent="0.35">
      <c r="A95" s="44" t="s">
        <v>810</v>
      </c>
      <c r="B95" s="66" t="s">
        <v>811</v>
      </c>
      <c r="C95" s="66"/>
      <c r="D95" s="66"/>
      <c r="E95" s="101"/>
      <c r="F95" s="44"/>
      <c r="G95" s="66"/>
      <c r="H95" s="97"/>
      <c r="I95" s="108" t="s">
        <v>2720</v>
      </c>
    </row>
    <row r="96" spans="1:9" x14ac:dyDescent="0.35">
      <c r="A96" s="44" t="s">
        <v>816</v>
      </c>
      <c r="B96" s="66" t="s">
        <v>817</v>
      </c>
      <c r="C96" s="66"/>
      <c r="D96" s="66"/>
      <c r="E96" s="101"/>
      <c r="F96" s="44"/>
      <c r="G96" s="66"/>
      <c r="H96" s="97"/>
      <c r="I96" s="108" t="s">
        <v>2707</v>
      </c>
    </row>
    <row r="97" spans="1:9" ht="15" thickBot="1" x14ac:dyDescent="0.4">
      <c r="A97" s="98" t="s">
        <v>820</v>
      </c>
      <c r="B97" s="85" t="s">
        <v>821</v>
      </c>
      <c r="C97" s="85"/>
      <c r="D97" s="85"/>
      <c r="E97" s="102"/>
      <c r="F97" s="98"/>
      <c r="G97" s="85"/>
      <c r="H97" s="99"/>
      <c r="I97" s="125" t="s">
        <v>2707</v>
      </c>
    </row>
    <row r="99" spans="1:9" ht="15" thickBot="1" x14ac:dyDescent="0.4">
      <c r="B99" s="117" t="s">
        <v>2545</v>
      </c>
      <c r="C99" s="112">
        <f>SUM(C2:C97)</f>
        <v>0</v>
      </c>
      <c r="D99" s="112">
        <f t="shared" ref="D99:H99" si="0">SUM(D2:D97)</f>
        <v>0</v>
      </c>
      <c r="E99" s="112">
        <f t="shared" si="0"/>
        <v>0</v>
      </c>
      <c r="F99" s="112">
        <f t="shared" si="0"/>
        <v>0</v>
      </c>
      <c r="G99" s="112">
        <f t="shared" si="0"/>
        <v>0</v>
      </c>
      <c r="H99" s="112">
        <f t="shared" si="0"/>
        <v>0</v>
      </c>
    </row>
    <row r="100" spans="1:9" ht="15" thickTop="1" x14ac:dyDescent="0.35"/>
    <row r="101" spans="1:9" x14ac:dyDescent="0.35">
      <c r="B101" s="126" t="s">
        <v>2693</v>
      </c>
    </row>
    <row r="102" spans="1:9" hidden="1" x14ac:dyDescent="0.35">
      <c r="A102" s="93" t="s">
        <v>324</v>
      </c>
      <c r="B102" s="69" t="s">
        <v>197</v>
      </c>
      <c r="C102" s="94"/>
      <c r="D102" s="94"/>
      <c r="E102" s="100"/>
      <c r="F102" s="91"/>
      <c r="G102" s="94"/>
      <c r="H102" s="95"/>
      <c r="I102" s="123" t="s">
        <v>2721</v>
      </c>
    </row>
    <row r="103" spans="1:9" hidden="1" x14ac:dyDescent="0.35">
      <c r="A103" s="44" t="s">
        <v>594</v>
      </c>
      <c r="B103" s="66" t="s">
        <v>595</v>
      </c>
      <c r="C103" s="89"/>
      <c r="D103" s="89"/>
      <c r="E103" s="90"/>
      <c r="F103" s="88"/>
      <c r="G103" s="89"/>
      <c r="H103" s="96"/>
      <c r="I103" s="108" t="s">
        <v>2722</v>
      </c>
    </row>
    <row r="104" spans="1:9" x14ac:dyDescent="0.35">
      <c r="A104" s="44" t="s">
        <v>596</v>
      </c>
      <c r="B104" s="66" t="s">
        <v>597</v>
      </c>
      <c r="C104" s="89"/>
      <c r="D104" s="89"/>
      <c r="E104" s="90"/>
      <c r="F104" s="88"/>
      <c r="G104" s="89"/>
      <c r="H104" s="96"/>
      <c r="I104" s="108" t="s">
        <v>2722</v>
      </c>
    </row>
    <row r="105" spans="1:9" hidden="1" x14ac:dyDescent="0.35">
      <c r="A105" s="44" t="s">
        <v>598</v>
      </c>
      <c r="B105" s="66" t="s">
        <v>599</v>
      </c>
      <c r="C105" s="89"/>
      <c r="D105" s="89"/>
      <c r="E105" s="90"/>
      <c r="F105" s="88"/>
      <c r="G105" s="89"/>
      <c r="H105" s="96"/>
      <c r="I105" s="108" t="s">
        <v>2722</v>
      </c>
    </row>
    <row r="106" spans="1:9" hidden="1" x14ac:dyDescent="0.35">
      <c r="A106" s="44" t="s">
        <v>69</v>
      </c>
      <c r="B106" s="66" t="s">
        <v>70</v>
      </c>
      <c r="C106" s="89"/>
      <c r="D106" s="89"/>
      <c r="E106" s="90"/>
      <c r="F106" s="88"/>
      <c r="G106" s="89"/>
      <c r="H106" s="96"/>
      <c r="I106" s="108" t="s">
        <v>2722</v>
      </c>
    </row>
    <row r="107" spans="1:9" hidden="1" x14ac:dyDescent="0.35">
      <c r="A107" s="44" t="s">
        <v>107</v>
      </c>
      <c r="B107" s="66" t="s">
        <v>108</v>
      </c>
      <c r="C107" s="89"/>
      <c r="D107" s="89"/>
      <c r="E107" s="90"/>
      <c r="F107" s="88"/>
      <c r="G107" s="89"/>
      <c r="H107" s="96"/>
      <c r="I107" s="108" t="s">
        <v>2722</v>
      </c>
    </row>
    <row r="108" spans="1:9" hidden="1" x14ac:dyDescent="0.35">
      <c r="A108" s="44" t="s">
        <v>759</v>
      </c>
      <c r="B108" s="66" t="s">
        <v>760</v>
      </c>
      <c r="C108" s="89"/>
      <c r="D108" s="89"/>
      <c r="E108" s="90"/>
      <c r="F108" s="88"/>
      <c r="G108" s="89"/>
      <c r="H108" s="96"/>
      <c r="I108" s="108" t="s">
        <v>2722</v>
      </c>
    </row>
    <row r="109" spans="1:9" hidden="1" x14ac:dyDescent="0.35">
      <c r="A109" s="44" t="s">
        <v>343</v>
      </c>
      <c r="B109" s="66" t="s">
        <v>344</v>
      </c>
      <c r="C109" s="89"/>
      <c r="D109" s="89"/>
      <c r="E109" s="90"/>
      <c r="F109" s="88"/>
      <c r="G109" s="89"/>
      <c r="H109" s="96"/>
      <c r="I109" s="108" t="s">
        <v>2722</v>
      </c>
    </row>
    <row r="110" spans="1:9" hidden="1" x14ac:dyDescent="0.35">
      <c r="A110" s="44" t="s">
        <v>334</v>
      </c>
      <c r="B110" s="66" t="s">
        <v>2736</v>
      </c>
      <c r="C110" s="89"/>
      <c r="D110" s="89"/>
      <c r="E110" s="90"/>
      <c r="F110" s="88"/>
      <c r="G110" s="89"/>
      <c r="H110" s="96"/>
      <c r="I110" s="108" t="s">
        <v>2722</v>
      </c>
    </row>
    <row r="111" spans="1:9" x14ac:dyDescent="0.35">
      <c r="A111" s="44" t="s">
        <v>600</v>
      </c>
      <c r="B111" s="66" t="s">
        <v>601</v>
      </c>
      <c r="C111" s="89"/>
      <c r="D111" s="89"/>
      <c r="E111" s="90"/>
      <c r="F111" s="88"/>
      <c r="G111" s="89"/>
      <c r="H111" s="96"/>
      <c r="I111" s="108" t="s">
        <v>2722</v>
      </c>
    </row>
    <row r="112" spans="1:9" hidden="1" x14ac:dyDescent="0.35">
      <c r="A112" s="44" t="s">
        <v>79</v>
      </c>
      <c r="B112" s="66" t="s">
        <v>80</v>
      </c>
      <c r="C112" s="89"/>
      <c r="D112" s="89"/>
      <c r="E112" s="90"/>
      <c r="F112" s="88"/>
      <c r="G112" s="89"/>
      <c r="H112" s="96"/>
      <c r="I112" s="108" t="s">
        <v>2722</v>
      </c>
    </row>
    <row r="113" spans="1:9" hidden="1" x14ac:dyDescent="0.35">
      <c r="A113" s="44" t="s">
        <v>220</v>
      </c>
      <c r="B113" s="66" t="s">
        <v>221</v>
      </c>
      <c r="C113" s="89"/>
      <c r="D113" s="89"/>
      <c r="E113" s="90"/>
      <c r="F113" s="88"/>
      <c r="G113" s="89"/>
      <c r="H113" s="96"/>
      <c r="I113" s="108" t="s">
        <v>2722</v>
      </c>
    </row>
    <row r="114" spans="1:9" hidden="1" x14ac:dyDescent="0.35">
      <c r="A114" s="44" t="s">
        <v>213</v>
      </c>
      <c r="B114" s="66" t="s">
        <v>214</v>
      </c>
      <c r="C114" s="89"/>
      <c r="D114" s="89"/>
      <c r="E114" s="90"/>
      <c r="F114" s="88"/>
      <c r="G114" s="89"/>
      <c r="H114" s="96"/>
      <c r="I114" s="108" t="s">
        <v>2722</v>
      </c>
    </row>
    <row r="115" spans="1:9" hidden="1" x14ac:dyDescent="0.35">
      <c r="A115" s="44" t="s">
        <v>530</v>
      </c>
      <c r="B115" s="66" t="s">
        <v>46</v>
      </c>
      <c r="C115" s="89"/>
      <c r="D115" s="89"/>
      <c r="E115" s="90"/>
      <c r="F115" s="88"/>
      <c r="G115" s="89"/>
      <c r="H115" s="96"/>
      <c r="I115" s="108" t="s">
        <v>2721</v>
      </c>
    </row>
    <row r="116" spans="1:9" hidden="1" x14ac:dyDescent="0.35">
      <c r="A116" s="44" t="s">
        <v>522</v>
      </c>
      <c r="B116" s="66" t="s">
        <v>36</v>
      </c>
      <c r="C116" s="89"/>
      <c r="D116" s="89"/>
      <c r="E116" s="90"/>
      <c r="F116" s="88"/>
      <c r="G116" s="89"/>
      <c r="H116" s="96"/>
      <c r="I116" s="108" t="s">
        <v>2721</v>
      </c>
    </row>
    <row r="117" spans="1:9" hidden="1" x14ac:dyDescent="0.35">
      <c r="A117" s="44" t="s">
        <v>736</v>
      </c>
      <c r="B117" s="66" t="s">
        <v>737</v>
      </c>
      <c r="C117" s="89"/>
      <c r="D117" s="89"/>
      <c r="E117" s="90"/>
      <c r="F117" s="88"/>
      <c r="G117" s="89"/>
      <c r="H117" s="96"/>
      <c r="I117" s="108" t="s">
        <v>2729</v>
      </c>
    </row>
    <row r="118" spans="1:9" hidden="1" x14ac:dyDescent="0.35">
      <c r="A118" s="44" t="s">
        <v>57</v>
      </c>
      <c r="B118" s="66" t="s">
        <v>58</v>
      </c>
      <c r="C118" s="89"/>
      <c r="D118" s="89"/>
      <c r="E118" s="90"/>
      <c r="F118" s="88"/>
      <c r="G118" s="89"/>
      <c r="H118" s="96"/>
      <c r="I118" s="108" t="s">
        <v>2721</v>
      </c>
    </row>
    <row r="119" spans="1:9" hidden="1" x14ac:dyDescent="0.35">
      <c r="A119" s="44"/>
      <c r="B119" s="66" t="s">
        <v>2644</v>
      </c>
      <c r="C119" s="89"/>
      <c r="D119" s="89"/>
      <c r="E119" s="90"/>
      <c r="F119" s="88"/>
      <c r="G119" s="89"/>
      <c r="H119" s="96"/>
      <c r="I119" s="108" t="s">
        <v>2722</v>
      </c>
    </row>
    <row r="120" spans="1:9" hidden="1" x14ac:dyDescent="0.35">
      <c r="A120" s="44"/>
      <c r="B120" s="66" t="s">
        <v>2657</v>
      </c>
      <c r="C120" s="89"/>
      <c r="D120" s="89"/>
      <c r="E120" s="90"/>
      <c r="F120" s="88"/>
      <c r="G120" s="89"/>
      <c r="H120" s="96"/>
      <c r="I120" s="108" t="s">
        <v>2722</v>
      </c>
    </row>
    <row r="121" spans="1:9" hidden="1" x14ac:dyDescent="0.35">
      <c r="A121" s="44" t="s">
        <v>458</v>
      </c>
      <c r="B121" s="66" t="s">
        <v>459</v>
      </c>
      <c r="C121" s="89"/>
      <c r="D121" s="89"/>
      <c r="E121" s="90"/>
      <c r="F121" s="88"/>
      <c r="G121" s="89"/>
      <c r="H121" s="96"/>
      <c r="I121" s="108" t="s">
        <v>2722</v>
      </c>
    </row>
    <row r="122" spans="1:9" hidden="1" x14ac:dyDescent="0.35">
      <c r="A122" s="44" t="s">
        <v>229</v>
      </c>
      <c r="B122" s="66" t="s">
        <v>230</v>
      </c>
      <c r="C122" s="89"/>
      <c r="D122" s="89"/>
      <c r="E122" s="90"/>
      <c r="F122" s="88"/>
      <c r="G122" s="89"/>
      <c r="H122" s="96"/>
      <c r="I122" s="108" t="s">
        <v>2722</v>
      </c>
    </row>
    <row r="123" spans="1:9" hidden="1" x14ac:dyDescent="0.35">
      <c r="A123" s="44" t="s">
        <v>231</v>
      </c>
      <c r="B123" s="66" t="s">
        <v>232</v>
      </c>
      <c r="C123" s="89"/>
      <c r="D123" s="89"/>
      <c r="E123" s="90"/>
      <c r="F123" s="88"/>
      <c r="G123" s="89"/>
      <c r="H123" s="96"/>
      <c r="I123" s="108" t="s">
        <v>2722</v>
      </c>
    </row>
    <row r="124" spans="1:9" hidden="1" x14ac:dyDescent="0.35">
      <c r="A124" s="44" t="s">
        <v>758</v>
      </c>
      <c r="B124" s="66" t="s">
        <v>2607</v>
      </c>
      <c r="C124" s="89"/>
      <c r="D124" s="89"/>
      <c r="E124" s="90"/>
      <c r="F124" s="88"/>
      <c r="G124" s="89"/>
      <c r="H124" s="96"/>
      <c r="I124" s="108" t="s">
        <v>2722</v>
      </c>
    </row>
    <row r="125" spans="1:9" hidden="1" x14ac:dyDescent="0.35">
      <c r="A125" s="44" t="s">
        <v>101</v>
      </c>
      <c r="B125" s="66" t="s">
        <v>2660</v>
      </c>
      <c r="C125" s="89"/>
      <c r="D125" s="89"/>
      <c r="E125" s="90"/>
      <c r="F125" s="88"/>
      <c r="G125" s="89"/>
      <c r="H125" s="96"/>
      <c r="I125" s="108" t="s">
        <v>2722</v>
      </c>
    </row>
    <row r="126" spans="1:9" hidden="1" x14ac:dyDescent="0.35">
      <c r="A126" s="44" t="s">
        <v>635</v>
      </c>
      <c r="B126" s="66" t="s">
        <v>636</v>
      </c>
      <c r="C126" s="89"/>
      <c r="D126" s="89"/>
      <c r="E126" s="90"/>
      <c r="F126" s="88"/>
      <c r="G126" s="89"/>
      <c r="H126" s="96"/>
      <c r="I126" s="108" t="s">
        <v>2722</v>
      </c>
    </row>
    <row r="127" spans="1:9" hidden="1" x14ac:dyDescent="0.35">
      <c r="A127" s="44" t="s">
        <v>235</v>
      </c>
      <c r="B127" s="66" t="s">
        <v>236</v>
      </c>
      <c r="C127" s="89"/>
      <c r="D127" s="89"/>
      <c r="E127" s="90"/>
      <c r="F127" s="88"/>
      <c r="G127" s="89"/>
      <c r="H127" s="96"/>
      <c r="I127" s="108" t="s">
        <v>2722</v>
      </c>
    </row>
    <row r="128" spans="1:9" hidden="1" x14ac:dyDescent="0.35">
      <c r="A128" s="44"/>
      <c r="B128" s="66" t="s">
        <v>2636</v>
      </c>
      <c r="C128" s="89"/>
      <c r="D128" s="89"/>
      <c r="E128" s="90"/>
      <c r="F128" s="88"/>
      <c r="G128" s="89"/>
      <c r="H128" s="96"/>
      <c r="I128" s="108" t="s">
        <v>2722</v>
      </c>
    </row>
    <row r="129" spans="1:9" hidden="1" x14ac:dyDescent="0.35">
      <c r="A129" s="44" t="s">
        <v>77</v>
      </c>
      <c r="B129" s="66" t="s">
        <v>78</v>
      </c>
      <c r="C129" s="89"/>
      <c r="D129" s="89"/>
      <c r="E129" s="90"/>
      <c r="F129" s="88"/>
      <c r="G129" s="89"/>
      <c r="H129" s="96"/>
      <c r="I129" s="108" t="s">
        <v>2722</v>
      </c>
    </row>
    <row r="130" spans="1:9" hidden="1" x14ac:dyDescent="0.35">
      <c r="A130" s="44" t="s">
        <v>540</v>
      </c>
      <c r="B130" s="66" t="s">
        <v>541</v>
      </c>
      <c r="C130" s="89"/>
      <c r="D130" s="89"/>
      <c r="E130" s="90"/>
      <c r="F130" s="88"/>
      <c r="G130" s="89"/>
      <c r="H130" s="96"/>
      <c r="I130" s="108" t="s">
        <v>2722</v>
      </c>
    </row>
    <row r="131" spans="1:9" hidden="1" x14ac:dyDescent="0.35">
      <c r="A131" s="44" t="s">
        <v>308</v>
      </c>
      <c r="B131" s="66" t="s">
        <v>309</v>
      </c>
      <c r="C131" s="89"/>
      <c r="D131" s="89"/>
      <c r="E131" s="90"/>
      <c r="F131" s="88"/>
      <c r="G131" s="89"/>
      <c r="H131" s="96"/>
      <c r="I131" s="108" t="s">
        <v>2722</v>
      </c>
    </row>
    <row r="132" spans="1:9" hidden="1" x14ac:dyDescent="0.35">
      <c r="A132" s="44"/>
      <c r="B132" s="66" t="s">
        <v>2646</v>
      </c>
      <c r="C132" s="89"/>
      <c r="D132" s="89"/>
      <c r="E132" s="90"/>
      <c r="F132" s="88"/>
      <c r="G132" s="89"/>
      <c r="H132" s="96"/>
      <c r="I132" s="108" t="s">
        <v>2723</v>
      </c>
    </row>
    <row r="133" spans="1:9" hidden="1" x14ac:dyDescent="0.35">
      <c r="A133" s="44"/>
      <c r="B133" s="66" t="s">
        <v>2737</v>
      </c>
      <c r="C133" s="89"/>
      <c r="D133" s="89"/>
      <c r="E133" s="90"/>
      <c r="F133" s="88"/>
      <c r="G133" s="89"/>
      <c r="H133" s="96"/>
      <c r="I133" s="108" t="s">
        <v>2723</v>
      </c>
    </row>
    <row r="134" spans="1:9" hidden="1" x14ac:dyDescent="0.35">
      <c r="A134" s="44" t="s">
        <v>369</v>
      </c>
      <c r="B134" s="66" t="s">
        <v>124</v>
      </c>
      <c r="C134" s="89"/>
      <c r="D134" s="89"/>
      <c r="E134" s="90"/>
      <c r="F134" s="88"/>
      <c r="G134" s="89"/>
      <c r="H134" s="96"/>
      <c r="I134" s="108" t="s">
        <v>2724</v>
      </c>
    </row>
    <row r="135" spans="1:9" hidden="1" x14ac:dyDescent="0.35">
      <c r="A135" s="44" t="s">
        <v>297</v>
      </c>
      <c r="B135" s="66" t="s">
        <v>298</v>
      </c>
      <c r="C135" s="89"/>
      <c r="D135" s="89"/>
      <c r="E135" s="90"/>
      <c r="F135" s="88"/>
      <c r="G135" s="89"/>
      <c r="H135" s="96"/>
      <c r="I135" s="108" t="s">
        <v>2722</v>
      </c>
    </row>
    <row r="136" spans="1:9" hidden="1" x14ac:dyDescent="0.35">
      <c r="A136" s="44" t="s">
        <v>55</v>
      </c>
      <c r="B136" s="66" t="s">
        <v>56</v>
      </c>
      <c r="C136" s="89"/>
      <c r="D136" s="89"/>
      <c r="E136" s="90"/>
      <c r="F136" s="88"/>
      <c r="G136" s="89"/>
      <c r="H136" s="96"/>
      <c r="I136" s="108" t="s">
        <v>2722</v>
      </c>
    </row>
    <row r="137" spans="1:9" hidden="1" x14ac:dyDescent="0.35">
      <c r="A137" s="44" t="s">
        <v>99</v>
      </c>
      <c r="B137" s="66" t="s">
        <v>100</v>
      </c>
      <c r="C137" s="89"/>
      <c r="D137" s="89"/>
      <c r="E137" s="90"/>
      <c r="F137" s="88"/>
      <c r="G137" s="89"/>
      <c r="H137" s="96"/>
      <c r="I137" s="108" t="s">
        <v>2722</v>
      </c>
    </row>
    <row r="138" spans="1:9" hidden="1" x14ac:dyDescent="0.35">
      <c r="A138" s="44" t="s">
        <v>53</v>
      </c>
      <c r="B138" s="66" t="s">
        <v>54</v>
      </c>
      <c r="C138" s="89"/>
      <c r="D138" s="89"/>
      <c r="E138" s="90"/>
      <c r="F138" s="88"/>
      <c r="G138" s="89"/>
      <c r="H138" s="96"/>
      <c r="I138" s="108" t="s">
        <v>2730</v>
      </c>
    </row>
    <row r="139" spans="1:9" hidden="1" x14ac:dyDescent="0.35">
      <c r="A139" s="44" t="s">
        <v>350</v>
      </c>
      <c r="B139" s="66" t="s">
        <v>351</v>
      </c>
      <c r="C139" s="89"/>
      <c r="D139" s="89"/>
      <c r="E139" s="90"/>
      <c r="F139" s="88"/>
      <c r="G139" s="89"/>
      <c r="H139" s="96"/>
      <c r="I139" s="108" t="s">
        <v>2722</v>
      </c>
    </row>
    <row r="140" spans="1:9" hidden="1" x14ac:dyDescent="0.35">
      <c r="A140" s="44" t="s">
        <v>604</v>
      </c>
      <c r="B140" s="66" t="s">
        <v>2746</v>
      </c>
      <c r="C140" s="89"/>
      <c r="D140" s="89"/>
      <c r="E140" s="90"/>
      <c r="F140" s="88"/>
      <c r="G140" s="89"/>
      <c r="H140" s="96"/>
      <c r="I140" s="108" t="s">
        <v>2730</v>
      </c>
    </row>
    <row r="141" spans="1:9" hidden="1" x14ac:dyDescent="0.35">
      <c r="A141" s="44" t="s">
        <v>224</v>
      </c>
      <c r="B141" s="66" t="s">
        <v>225</v>
      </c>
      <c r="C141" s="89"/>
      <c r="D141" s="89"/>
      <c r="E141" s="90"/>
      <c r="F141" s="88"/>
      <c r="G141" s="89"/>
      <c r="H141" s="96"/>
      <c r="I141" s="108" t="s">
        <v>2722</v>
      </c>
    </row>
    <row r="142" spans="1:9" hidden="1" x14ac:dyDescent="0.35">
      <c r="A142" s="44" t="s">
        <v>455</v>
      </c>
      <c r="B142" s="66" t="s">
        <v>64</v>
      </c>
      <c r="C142" s="89"/>
      <c r="D142" s="89"/>
      <c r="E142" s="90"/>
      <c r="F142" s="88"/>
      <c r="G142" s="89"/>
      <c r="H142" s="96"/>
      <c r="I142" s="108" t="s">
        <v>2726</v>
      </c>
    </row>
    <row r="143" spans="1:9" hidden="1" x14ac:dyDescent="0.35">
      <c r="A143" s="44" t="s">
        <v>354</v>
      </c>
      <c r="B143" s="66" t="s">
        <v>355</v>
      </c>
      <c r="C143" s="89"/>
      <c r="D143" s="89"/>
      <c r="E143" s="90"/>
      <c r="F143" s="88"/>
      <c r="G143" s="89"/>
      <c r="H143" s="96"/>
      <c r="I143" s="108" t="s">
        <v>2722</v>
      </c>
    </row>
    <row r="144" spans="1:9" hidden="1" x14ac:dyDescent="0.35">
      <c r="A144" s="44" t="s">
        <v>261</v>
      </c>
      <c r="B144" s="66" t="s">
        <v>262</v>
      </c>
      <c r="C144" s="89"/>
      <c r="D144" s="89"/>
      <c r="E144" s="90"/>
      <c r="F144" s="88"/>
      <c r="G144" s="89"/>
      <c r="H144" s="96"/>
      <c r="I144" s="108" t="s">
        <v>2722</v>
      </c>
    </row>
    <row r="145" spans="1:9" hidden="1" x14ac:dyDescent="0.35">
      <c r="A145" s="44" t="s">
        <v>95</v>
      </c>
      <c r="B145" s="66" t="s">
        <v>96</v>
      </c>
      <c r="C145" s="89"/>
      <c r="D145" s="89"/>
      <c r="E145" s="90"/>
      <c r="F145" s="88"/>
      <c r="G145" s="89"/>
      <c r="H145" s="96"/>
      <c r="I145" s="108" t="s">
        <v>2722</v>
      </c>
    </row>
    <row r="146" spans="1:9" hidden="1" x14ac:dyDescent="0.35">
      <c r="A146" s="44" t="s">
        <v>503</v>
      </c>
      <c r="B146" s="66" t="s">
        <v>504</v>
      </c>
      <c r="C146" s="89"/>
      <c r="D146" s="89"/>
      <c r="E146" s="90"/>
      <c r="F146" s="88"/>
      <c r="G146" s="89"/>
      <c r="H146" s="96"/>
      <c r="I146" s="108" t="s">
        <v>2722</v>
      </c>
    </row>
    <row r="147" spans="1:9" hidden="1" x14ac:dyDescent="0.35">
      <c r="A147" s="44" t="s">
        <v>755</v>
      </c>
      <c r="B147" s="66" t="s">
        <v>756</v>
      </c>
      <c r="C147" s="89"/>
      <c r="D147" s="89"/>
      <c r="E147" s="90"/>
      <c r="F147" s="88"/>
      <c r="G147" s="89"/>
      <c r="H147" s="96"/>
      <c r="I147" s="108" t="s">
        <v>2722</v>
      </c>
    </row>
    <row r="148" spans="1:9" hidden="1" x14ac:dyDescent="0.35">
      <c r="A148" s="44" t="s">
        <v>673</v>
      </c>
      <c r="B148" s="66" t="s">
        <v>674</v>
      </c>
      <c r="C148" s="89"/>
      <c r="D148" s="89"/>
      <c r="E148" s="90"/>
      <c r="F148" s="88"/>
      <c r="G148" s="89"/>
      <c r="H148" s="96"/>
      <c r="I148" s="108" t="s">
        <v>2722</v>
      </c>
    </row>
    <row r="149" spans="1:9" hidden="1" x14ac:dyDescent="0.35">
      <c r="A149" s="44" t="s">
        <v>85</v>
      </c>
      <c r="B149" s="66" t="s">
        <v>86</v>
      </c>
      <c r="C149" s="89"/>
      <c r="D149" s="89"/>
      <c r="E149" s="90"/>
      <c r="F149" s="88"/>
      <c r="G149" s="89"/>
      <c r="H149" s="96"/>
      <c r="I149" s="108" t="s">
        <v>2722</v>
      </c>
    </row>
    <row r="150" spans="1:9" hidden="1" x14ac:dyDescent="0.35">
      <c r="A150" s="44" t="s">
        <v>263</v>
      </c>
      <c r="B150" s="66" t="s">
        <v>264</v>
      </c>
      <c r="C150" s="89"/>
      <c r="D150" s="89"/>
      <c r="E150" s="90"/>
      <c r="F150" s="88"/>
      <c r="G150" s="89"/>
      <c r="H150" s="96"/>
      <c r="I150" s="108" t="s">
        <v>2722</v>
      </c>
    </row>
    <row r="151" spans="1:9" hidden="1" x14ac:dyDescent="0.35">
      <c r="A151" s="44" t="s">
        <v>734</v>
      </c>
      <c r="B151" s="66" t="s">
        <v>735</v>
      </c>
      <c r="C151" s="89"/>
      <c r="D151" s="89"/>
      <c r="E151" s="90"/>
      <c r="F151" s="88"/>
      <c r="G151" s="89"/>
      <c r="H151" s="96"/>
      <c r="I151" s="108" t="s">
        <v>2725</v>
      </c>
    </row>
    <row r="152" spans="1:9" hidden="1" x14ac:dyDescent="0.35">
      <c r="A152" s="44" t="s">
        <v>751</v>
      </c>
      <c r="B152" s="66" t="s">
        <v>752</v>
      </c>
      <c r="C152" s="89"/>
      <c r="D152" s="89"/>
      <c r="E152" s="90"/>
      <c r="F152" s="88"/>
      <c r="G152" s="89"/>
      <c r="H152" s="96"/>
      <c r="I152" s="108" t="s">
        <v>2722</v>
      </c>
    </row>
    <row r="153" spans="1:9" hidden="1" x14ac:dyDescent="0.35">
      <c r="A153" s="44" t="s">
        <v>306</v>
      </c>
      <c r="B153" s="66" t="s">
        <v>307</v>
      </c>
      <c r="C153" s="89"/>
      <c r="D153" s="89"/>
      <c r="E153" s="90"/>
      <c r="F153" s="88"/>
      <c r="G153" s="89"/>
      <c r="H153" s="96"/>
      <c r="I153" s="108" t="s">
        <v>2722</v>
      </c>
    </row>
    <row r="154" spans="1:9" hidden="1" x14ac:dyDescent="0.35">
      <c r="A154" s="44" t="s">
        <v>71</v>
      </c>
      <c r="B154" s="66" t="s">
        <v>72</v>
      </c>
      <c r="C154" s="89"/>
      <c r="D154" s="89"/>
      <c r="E154" s="90"/>
      <c r="F154" s="88"/>
      <c r="G154" s="89"/>
      <c r="H154" s="96"/>
      <c r="I154" s="108" t="s">
        <v>2722</v>
      </c>
    </row>
    <row r="155" spans="1:9" hidden="1" x14ac:dyDescent="0.35">
      <c r="A155" s="44"/>
      <c r="B155" s="66" t="s">
        <v>2734</v>
      </c>
      <c r="C155" s="89"/>
      <c r="D155" s="89"/>
      <c r="E155" s="90"/>
      <c r="F155" s="88"/>
      <c r="G155" s="89"/>
      <c r="H155" s="96"/>
      <c r="I155" s="108" t="s">
        <v>2722</v>
      </c>
    </row>
    <row r="156" spans="1:9" hidden="1" x14ac:dyDescent="0.35">
      <c r="A156" s="44" t="s">
        <v>253</v>
      </c>
      <c r="B156" s="66" t="s">
        <v>254</v>
      </c>
      <c r="C156" s="89"/>
      <c r="D156" s="89"/>
      <c r="E156" s="90"/>
      <c r="F156" s="88"/>
      <c r="G156" s="89"/>
      <c r="H156" s="96"/>
      <c r="I156" s="108" t="s">
        <v>2728</v>
      </c>
    </row>
    <row r="157" spans="1:9" hidden="1" x14ac:dyDescent="0.35">
      <c r="A157" s="44"/>
      <c r="B157" s="66" t="s">
        <v>2628</v>
      </c>
      <c r="C157" s="89"/>
      <c r="D157" s="89"/>
      <c r="E157" s="90"/>
      <c r="F157" s="88"/>
      <c r="G157" s="89"/>
      <c r="H157" s="96"/>
      <c r="I157" s="108" t="s">
        <v>2728</v>
      </c>
    </row>
    <row r="158" spans="1:9" hidden="1" x14ac:dyDescent="0.35">
      <c r="A158" s="44" t="s">
        <v>542</v>
      </c>
      <c r="B158" s="66" t="s">
        <v>543</v>
      </c>
      <c r="C158" s="89"/>
      <c r="D158" s="89"/>
      <c r="E158" s="90"/>
      <c r="F158" s="88"/>
      <c r="G158" s="89"/>
      <c r="H158" s="96"/>
      <c r="I158" s="108" t="s">
        <v>2722</v>
      </c>
    </row>
    <row r="159" spans="1:9" hidden="1" x14ac:dyDescent="0.35">
      <c r="A159" s="44" t="s">
        <v>665</v>
      </c>
      <c r="B159" s="66" t="s">
        <v>2650</v>
      </c>
      <c r="C159" s="89"/>
      <c r="D159" s="89"/>
      <c r="E159" s="90"/>
      <c r="F159" s="88"/>
      <c r="G159" s="89"/>
      <c r="H159" s="96"/>
      <c r="I159" s="108" t="s">
        <v>2722</v>
      </c>
    </row>
    <row r="160" spans="1:9" hidden="1" x14ac:dyDescent="0.35">
      <c r="A160" s="44" t="s">
        <v>75</v>
      </c>
      <c r="B160" s="66" t="s">
        <v>76</v>
      </c>
      <c r="C160" s="89"/>
      <c r="D160" s="89"/>
      <c r="E160" s="90"/>
      <c r="F160" s="88"/>
      <c r="G160" s="89"/>
      <c r="H160" s="96"/>
      <c r="I160" s="108" t="s">
        <v>2722</v>
      </c>
    </row>
    <row r="161" spans="1:9" hidden="1" x14ac:dyDescent="0.35">
      <c r="A161" s="44" t="s">
        <v>407</v>
      </c>
      <c r="B161" s="66" t="s">
        <v>74</v>
      </c>
      <c r="C161" s="89"/>
      <c r="D161" s="89"/>
      <c r="E161" s="90"/>
      <c r="F161" s="88"/>
      <c r="G161" s="89"/>
      <c r="H161" s="96"/>
      <c r="I161" s="108" t="s">
        <v>2722</v>
      </c>
    </row>
    <row r="162" spans="1:9" hidden="1" x14ac:dyDescent="0.35">
      <c r="A162" s="44" t="s">
        <v>505</v>
      </c>
      <c r="B162" s="66" t="s">
        <v>506</v>
      </c>
      <c r="C162" s="89"/>
      <c r="D162" s="89"/>
      <c r="E162" s="90"/>
      <c r="F162" s="88"/>
      <c r="G162" s="89"/>
      <c r="H162" s="96"/>
      <c r="I162" s="108" t="s">
        <v>2722</v>
      </c>
    </row>
    <row r="163" spans="1:9" hidden="1" x14ac:dyDescent="0.35">
      <c r="A163" s="44" t="s">
        <v>2603</v>
      </c>
      <c r="B163" s="66" t="s">
        <v>2604</v>
      </c>
      <c r="C163" s="89"/>
      <c r="D163" s="89"/>
      <c r="E163" s="90"/>
      <c r="F163" s="88"/>
      <c r="G163" s="89"/>
      <c r="H163" s="96"/>
      <c r="I163" s="108" t="s">
        <v>2722</v>
      </c>
    </row>
    <row r="164" spans="1:9" hidden="1" x14ac:dyDescent="0.35">
      <c r="A164" s="44" t="s">
        <v>271</v>
      </c>
      <c r="B164" s="66" t="s">
        <v>272</v>
      </c>
      <c r="C164" s="89"/>
      <c r="D164" s="89"/>
      <c r="E164" s="90"/>
      <c r="F164" s="88"/>
      <c r="G164" s="89"/>
      <c r="H164" s="96"/>
      <c r="I164" s="108" t="s">
        <v>2722</v>
      </c>
    </row>
    <row r="165" spans="1:9" hidden="1" x14ac:dyDescent="0.35">
      <c r="A165" s="44" t="s">
        <v>533</v>
      </c>
      <c r="B165" s="66" t="s">
        <v>331</v>
      </c>
      <c r="C165" s="89"/>
      <c r="D165" s="89"/>
      <c r="E165" s="90"/>
      <c r="F165" s="88"/>
      <c r="G165" s="89"/>
      <c r="H165" s="96"/>
      <c r="I165" s="108" t="s">
        <v>2721</v>
      </c>
    </row>
    <row r="166" spans="1:9" hidden="1" x14ac:dyDescent="0.35">
      <c r="A166" s="44" t="s">
        <v>233</v>
      </c>
      <c r="B166" s="66" t="s">
        <v>234</v>
      </c>
      <c r="C166" s="89"/>
      <c r="D166" s="89"/>
      <c r="E166" s="90"/>
      <c r="F166" s="88"/>
      <c r="G166" s="89"/>
      <c r="H166" s="96"/>
      <c r="I166" s="108" t="s">
        <v>2722</v>
      </c>
    </row>
    <row r="167" spans="1:9" hidden="1" x14ac:dyDescent="0.35">
      <c r="A167" s="44" t="s">
        <v>335</v>
      </c>
      <c r="B167" s="66" t="s">
        <v>68</v>
      </c>
      <c r="C167" s="89"/>
      <c r="D167" s="89"/>
      <c r="E167" s="90"/>
      <c r="F167" s="88"/>
      <c r="G167" s="89"/>
      <c r="H167" s="96"/>
      <c r="I167" s="108" t="s">
        <v>2726</v>
      </c>
    </row>
    <row r="168" spans="1:9" hidden="1" x14ac:dyDescent="0.35">
      <c r="A168" s="44"/>
      <c r="B168" s="66" t="s">
        <v>2645</v>
      </c>
      <c r="C168" s="89"/>
      <c r="D168" s="89"/>
      <c r="E168" s="90"/>
      <c r="F168" s="88"/>
      <c r="G168" s="89"/>
      <c r="H168" s="96"/>
      <c r="I168" s="108" t="s">
        <v>2728</v>
      </c>
    </row>
    <row r="169" spans="1:9" hidden="1" x14ac:dyDescent="0.35">
      <c r="A169" s="44" t="s">
        <v>538</v>
      </c>
      <c r="B169" s="66" t="s">
        <v>90</v>
      </c>
      <c r="C169" s="89"/>
      <c r="D169" s="89"/>
      <c r="E169" s="90"/>
      <c r="F169" s="88"/>
      <c r="G169" s="89"/>
      <c r="H169" s="96"/>
      <c r="I169" s="108" t="s">
        <v>2722</v>
      </c>
    </row>
    <row r="170" spans="1:9" hidden="1" x14ac:dyDescent="0.35">
      <c r="A170" s="44" t="s">
        <v>245</v>
      </c>
      <c r="B170" s="66" t="s">
        <v>246</v>
      </c>
      <c r="C170" s="89"/>
      <c r="D170" s="89"/>
      <c r="E170" s="90"/>
      <c r="F170" s="88"/>
      <c r="G170" s="89"/>
      <c r="H170" s="96"/>
      <c r="I170" s="108" t="s">
        <v>2722</v>
      </c>
    </row>
    <row r="171" spans="1:9" hidden="1" x14ac:dyDescent="0.35">
      <c r="A171" s="44" t="s">
        <v>361</v>
      </c>
      <c r="B171" s="66" t="s">
        <v>240</v>
      </c>
      <c r="C171" s="89"/>
      <c r="D171" s="89"/>
      <c r="E171" s="90"/>
      <c r="F171" s="88"/>
      <c r="G171" s="89"/>
      <c r="H171" s="96"/>
      <c r="I171" s="108" t="s">
        <v>2722</v>
      </c>
    </row>
    <row r="172" spans="1:9" hidden="1" x14ac:dyDescent="0.35">
      <c r="A172" s="44" t="s">
        <v>360</v>
      </c>
      <c r="B172" s="66" t="s">
        <v>238</v>
      </c>
      <c r="C172" s="89"/>
      <c r="D172" s="89"/>
      <c r="E172" s="90"/>
      <c r="F172" s="88"/>
      <c r="G172" s="89"/>
      <c r="H172" s="96"/>
      <c r="I172" s="108" t="s">
        <v>2722</v>
      </c>
    </row>
    <row r="173" spans="1:9" hidden="1" x14ac:dyDescent="0.35">
      <c r="A173" s="44" t="s">
        <v>81</v>
      </c>
      <c r="B173" s="66" t="s">
        <v>82</v>
      </c>
      <c r="C173" s="89"/>
      <c r="D173" s="89"/>
      <c r="E173" s="90"/>
      <c r="F173" s="88"/>
      <c r="G173" s="89"/>
      <c r="H173" s="96"/>
      <c r="I173" s="108" t="s">
        <v>2722</v>
      </c>
    </row>
    <row r="174" spans="1:9" hidden="1" x14ac:dyDescent="0.35">
      <c r="A174" s="44" t="s">
        <v>366</v>
      </c>
      <c r="B174" s="66" t="s">
        <v>122</v>
      </c>
      <c r="C174" s="89"/>
      <c r="D174" s="89"/>
      <c r="E174" s="90"/>
      <c r="F174" s="88"/>
      <c r="G174" s="89"/>
      <c r="H174" s="96"/>
      <c r="I174" s="108" t="s">
        <v>2722</v>
      </c>
    </row>
    <row r="175" spans="1:9" hidden="1" x14ac:dyDescent="0.35">
      <c r="A175" s="44" t="s">
        <v>269</v>
      </c>
      <c r="B175" s="66" t="s">
        <v>270</v>
      </c>
      <c r="C175" s="89"/>
      <c r="D175" s="89"/>
      <c r="E175" s="90"/>
      <c r="F175" s="88"/>
      <c r="G175" s="89"/>
      <c r="H175" s="96"/>
      <c r="I175" s="108" t="s">
        <v>2722</v>
      </c>
    </row>
    <row r="176" spans="1:9" hidden="1" x14ac:dyDescent="0.35">
      <c r="A176" s="44" t="s">
        <v>117</v>
      </c>
      <c r="B176" s="66" t="s">
        <v>118</v>
      </c>
      <c r="C176" s="89"/>
      <c r="D176" s="89"/>
      <c r="E176" s="90"/>
      <c r="F176" s="88"/>
      <c r="G176" s="89"/>
      <c r="H176" s="96"/>
      <c r="I176" s="108" t="s">
        <v>2722</v>
      </c>
    </row>
    <row r="177" spans="1:9" hidden="1" x14ac:dyDescent="0.35">
      <c r="A177" s="44" t="s">
        <v>747</v>
      </c>
      <c r="B177" s="66" t="s">
        <v>748</v>
      </c>
      <c r="C177" s="89"/>
      <c r="D177" s="89"/>
      <c r="E177" s="90"/>
      <c r="F177" s="88"/>
      <c r="G177" s="89"/>
      <c r="H177" s="96"/>
      <c r="I177" s="108" t="s">
        <v>2722</v>
      </c>
    </row>
    <row r="178" spans="1:9" hidden="1" x14ac:dyDescent="0.35">
      <c r="A178" s="44" t="s">
        <v>208</v>
      </c>
      <c r="B178" s="66" t="s">
        <v>209</v>
      </c>
      <c r="C178" s="89"/>
      <c r="D178" s="89"/>
      <c r="E178" s="90"/>
      <c r="F178" s="88"/>
      <c r="G178" s="89"/>
      <c r="H178" s="96"/>
      <c r="I178" s="108" t="s">
        <v>2727</v>
      </c>
    </row>
    <row r="179" spans="1:9" hidden="1" x14ac:dyDescent="0.35">
      <c r="A179" s="44" t="s">
        <v>847</v>
      </c>
      <c r="B179" s="66" t="s">
        <v>848</v>
      </c>
      <c r="C179" s="89"/>
      <c r="D179" s="89"/>
      <c r="E179" s="90"/>
      <c r="F179" s="88"/>
      <c r="G179" s="89"/>
      <c r="H179" s="96"/>
      <c r="I179" s="108" t="s">
        <v>2722</v>
      </c>
    </row>
    <row r="180" spans="1:9" hidden="1" x14ac:dyDescent="0.35">
      <c r="A180" s="44" t="s">
        <v>738</v>
      </c>
      <c r="B180" s="66" t="s">
        <v>739</v>
      </c>
      <c r="C180" s="89"/>
      <c r="D180" s="89"/>
      <c r="E180" s="90"/>
      <c r="F180" s="88"/>
      <c r="G180" s="89"/>
      <c r="H180" s="96"/>
      <c r="I180" s="108" t="s">
        <v>2722</v>
      </c>
    </row>
    <row r="181" spans="1:9" hidden="1" x14ac:dyDescent="0.35">
      <c r="A181" s="44" t="s">
        <v>629</v>
      </c>
      <c r="B181" s="66" t="s">
        <v>630</v>
      </c>
      <c r="C181" s="89"/>
      <c r="D181" s="89"/>
      <c r="E181" s="90"/>
      <c r="F181" s="88"/>
      <c r="G181" s="89"/>
      <c r="H181" s="96"/>
      <c r="I181" s="108" t="s">
        <v>2722</v>
      </c>
    </row>
    <row r="182" spans="1:9" hidden="1" x14ac:dyDescent="0.35">
      <c r="A182" s="44" t="s">
        <v>616</v>
      </c>
      <c r="B182" s="66" t="s">
        <v>617</v>
      </c>
      <c r="C182" s="89"/>
      <c r="D182" s="89"/>
      <c r="E182" s="90"/>
      <c r="F182" s="88"/>
      <c r="G182" s="89"/>
      <c r="H182" s="96"/>
      <c r="I182" s="108" t="s">
        <v>2722</v>
      </c>
    </row>
    <row r="183" spans="1:9" hidden="1" x14ac:dyDescent="0.35">
      <c r="A183" s="44" t="s">
        <v>356</v>
      </c>
      <c r="B183" s="66" t="s">
        <v>357</v>
      </c>
      <c r="C183" s="89"/>
      <c r="D183" s="89"/>
      <c r="E183" s="90"/>
      <c r="F183" s="88"/>
      <c r="G183" s="89"/>
      <c r="H183" s="96"/>
      <c r="I183" s="108" t="s">
        <v>2722</v>
      </c>
    </row>
    <row r="184" spans="1:9" hidden="1" x14ac:dyDescent="0.35">
      <c r="A184" s="44" t="s">
        <v>534</v>
      </c>
      <c r="B184" s="66" t="s">
        <v>52</v>
      </c>
      <c r="C184" s="89"/>
      <c r="D184" s="89"/>
      <c r="E184" s="90"/>
      <c r="F184" s="88"/>
      <c r="G184" s="89"/>
      <c r="H184" s="96"/>
      <c r="I184" s="108" t="s">
        <v>2722</v>
      </c>
    </row>
    <row r="185" spans="1:9" hidden="1" x14ac:dyDescent="0.35">
      <c r="A185" s="44" t="s">
        <v>830</v>
      </c>
      <c r="B185" s="66" t="s">
        <v>831</v>
      </c>
      <c r="C185" s="89"/>
      <c r="D185" s="89"/>
      <c r="E185" s="90"/>
      <c r="F185" s="88"/>
      <c r="G185" s="89"/>
      <c r="H185" s="96"/>
      <c r="I185" s="108" t="s">
        <v>2722</v>
      </c>
    </row>
    <row r="186" spans="1:9" hidden="1" x14ac:dyDescent="0.35">
      <c r="A186" s="44" t="s">
        <v>347</v>
      </c>
      <c r="B186" s="66" t="s">
        <v>223</v>
      </c>
      <c r="C186" s="89"/>
      <c r="D186" s="89"/>
      <c r="E186" s="90"/>
      <c r="F186" s="88"/>
      <c r="G186" s="89"/>
      <c r="H186" s="96"/>
      <c r="I186" s="108" t="s">
        <v>2722</v>
      </c>
    </row>
    <row r="187" spans="1:9" hidden="1" x14ac:dyDescent="0.35">
      <c r="A187" s="44" t="s">
        <v>255</v>
      </c>
      <c r="B187" s="66" t="s">
        <v>256</v>
      </c>
      <c r="C187" s="89"/>
      <c r="D187" s="89"/>
      <c r="E187" s="90"/>
      <c r="F187" s="88"/>
      <c r="G187" s="89"/>
      <c r="H187" s="96"/>
      <c r="I187" s="108" t="s">
        <v>2722</v>
      </c>
    </row>
    <row r="188" spans="1:9" hidden="1" x14ac:dyDescent="0.35">
      <c r="A188" s="44" t="s">
        <v>206</v>
      </c>
      <c r="B188" s="66" t="s">
        <v>207</v>
      </c>
      <c r="C188" s="89"/>
      <c r="D188" s="89"/>
      <c r="E188" s="90"/>
      <c r="F188" s="88"/>
      <c r="G188" s="89"/>
      <c r="H188" s="96"/>
      <c r="I188" s="108" t="s">
        <v>2722</v>
      </c>
    </row>
    <row r="189" spans="1:9" hidden="1" x14ac:dyDescent="0.35">
      <c r="A189" s="44" t="s">
        <v>365</v>
      </c>
      <c r="B189" s="66" t="s">
        <v>120</v>
      </c>
      <c r="C189" s="89"/>
      <c r="D189" s="89"/>
      <c r="E189" s="90"/>
      <c r="F189" s="88"/>
      <c r="G189" s="89"/>
      <c r="H189" s="96"/>
      <c r="I189" s="108" t="s">
        <v>2731</v>
      </c>
    </row>
    <row r="190" spans="1:9" hidden="1" x14ac:dyDescent="0.35">
      <c r="A190" s="44" t="s">
        <v>749</v>
      </c>
      <c r="B190" s="66" t="s">
        <v>2744</v>
      </c>
      <c r="C190" s="89"/>
      <c r="D190" s="89"/>
      <c r="E190" s="90"/>
      <c r="F190" s="88"/>
      <c r="G190" s="89"/>
      <c r="H190" s="96"/>
      <c r="I190" s="108" t="s">
        <v>2722</v>
      </c>
    </row>
    <row r="191" spans="1:9" hidden="1" x14ac:dyDescent="0.35">
      <c r="A191" s="44"/>
      <c r="B191" s="66" t="s">
        <v>2745</v>
      </c>
      <c r="C191" s="89"/>
      <c r="D191" s="89"/>
      <c r="E191" s="90"/>
      <c r="F191" s="88"/>
      <c r="G191" s="89"/>
      <c r="H191" s="96"/>
      <c r="I191" s="108" t="s">
        <v>2722</v>
      </c>
    </row>
    <row r="192" spans="1:9" hidden="1" x14ac:dyDescent="0.35">
      <c r="A192" s="44" t="s">
        <v>410</v>
      </c>
      <c r="B192" s="66" t="s">
        <v>411</v>
      </c>
      <c r="C192" s="89"/>
      <c r="D192" s="89"/>
      <c r="E192" s="90"/>
      <c r="F192" s="88"/>
      <c r="G192" s="89"/>
      <c r="H192" s="96"/>
      <c r="I192" s="108" t="s">
        <v>2722</v>
      </c>
    </row>
    <row r="193" spans="1:9" hidden="1" x14ac:dyDescent="0.35">
      <c r="A193" s="44" t="s">
        <v>364</v>
      </c>
      <c r="B193" s="66" t="s">
        <v>250</v>
      </c>
      <c r="C193" s="89"/>
      <c r="D193" s="89"/>
      <c r="E193" s="90"/>
      <c r="F193" s="88"/>
      <c r="G193" s="89"/>
      <c r="H193" s="96"/>
      <c r="I193" s="108" t="s">
        <v>2722</v>
      </c>
    </row>
    <row r="194" spans="1:9" hidden="1" x14ac:dyDescent="0.35">
      <c r="A194" s="44"/>
      <c r="B194" s="66" t="s">
        <v>2641</v>
      </c>
      <c r="C194" s="89"/>
      <c r="D194" s="89"/>
      <c r="E194" s="90"/>
      <c r="F194" s="88"/>
      <c r="G194" s="89"/>
      <c r="H194" s="96"/>
      <c r="I194" s="108" t="s">
        <v>2722</v>
      </c>
    </row>
    <row r="195" spans="1:9" hidden="1" x14ac:dyDescent="0.35">
      <c r="A195" s="44" t="s">
        <v>508</v>
      </c>
      <c r="B195" s="66" t="s">
        <v>2642</v>
      </c>
      <c r="C195" s="89"/>
      <c r="D195" s="89"/>
      <c r="E195" s="90"/>
      <c r="F195" s="88"/>
      <c r="G195" s="89"/>
      <c r="H195" s="96"/>
      <c r="I195" s="108" t="s">
        <v>2722</v>
      </c>
    </row>
    <row r="196" spans="1:9" hidden="1" x14ac:dyDescent="0.35">
      <c r="A196" s="44" t="s">
        <v>668</v>
      </c>
      <c r="B196" s="66" t="s">
        <v>2652</v>
      </c>
      <c r="C196" s="89"/>
      <c r="D196" s="89"/>
      <c r="E196" s="90"/>
      <c r="F196" s="88"/>
      <c r="G196" s="89"/>
      <c r="H196" s="96"/>
      <c r="I196" s="108" t="s">
        <v>2722</v>
      </c>
    </row>
    <row r="197" spans="1:9" hidden="1" x14ac:dyDescent="0.35">
      <c r="A197" s="44" t="s">
        <v>546</v>
      </c>
      <c r="B197" s="66" t="s">
        <v>417</v>
      </c>
      <c r="C197" s="89"/>
      <c r="D197" s="89"/>
      <c r="E197" s="90"/>
      <c r="F197" s="88"/>
      <c r="G197" s="89"/>
      <c r="H197" s="96"/>
      <c r="I197" s="108" t="s">
        <v>2722</v>
      </c>
    </row>
    <row r="198" spans="1:9" hidden="1" x14ac:dyDescent="0.35">
      <c r="A198" s="44" t="s">
        <v>672</v>
      </c>
      <c r="B198" s="66" t="s">
        <v>2654</v>
      </c>
      <c r="C198" s="89"/>
      <c r="D198" s="89"/>
      <c r="E198" s="90"/>
      <c r="F198" s="88"/>
      <c r="G198" s="89"/>
      <c r="H198" s="96"/>
      <c r="I198" s="108" t="s">
        <v>2722</v>
      </c>
    </row>
    <row r="199" spans="1:9" hidden="1" x14ac:dyDescent="0.35">
      <c r="A199" s="44" t="s">
        <v>415</v>
      </c>
      <c r="B199" s="66" t="s">
        <v>114</v>
      </c>
      <c r="C199" s="89"/>
      <c r="D199" s="89"/>
      <c r="E199" s="90"/>
      <c r="F199" s="88"/>
      <c r="G199" s="89"/>
      <c r="H199" s="96"/>
      <c r="I199" s="108" t="s">
        <v>2722</v>
      </c>
    </row>
    <row r="200" spans="1:9" hidden="1" x14ac:dyDescent="0.35">
      <c r="A200" s="44"/>
      <c r="B200" s="66" t="s">
        <v>2633</v>
      </c>
      <c r="C200" s="89"/>
      <c r="D200" s="89"/>
      <c r="E200" s="90"/>
      <c r="F200" s="88"/>
      <c r="G200" s="89"/>
      <c r="H200" s="96"/>
      <c r="I200" s="108" t="s">
        <v>2722</v>
      </c>
    </row>
    <row r="201" spans="1:9" hidden="1" x14ac:dyDescent="0.35">
      <c r="A201" s="44"/>
      <c r="B201" s="66" t="s">
        <v>2647</v>
      </c>
      <c r="C201" s="89"/>
      <c r="D201" s="89"/>
      <c r="E201" s="90"/>
      <c r="F201" s="88"/>
      <c r="G201" s="89"/>
      <c r="H201" s="96"/>
      <c r="I201" s="108" t="s">
        <v>2722</v>
      </c>
    </row>
    <row r="202" spans="1:9" hidden="1" x14ac:dyDescent="0.35">
      <c r="A202" s="44" t="s">
        <v>547</v>
      </c>
      <c r="B202" s="66" t="s">
        <v>548</v>
      </c>
      <c r="C202" s="89"/>
      <c r="D202" s="89"/>
      <c r="E202" s="90"/>
      <c r="F202" s="88"/>
      <c r="G202" s="89"/>
      <c r="H202" s="96"/>
      <c r="I202" s="108" t="s">
        <v>2722</v>
      </c>
    </row>
    <row r="203" spans="1:9" hidden="1" x14ac:dyDescent="0.35">
      <c r="A203" s="44" t="s">
        <v>614</v>
      </c>
      <c r="B203" s="66" t="s">
        <v>615</v>
      </c>
      <c r="C203" s="89"/>
      <c r="D203" s="89"/>
      <c r="E203" s="90"/>
      <c r="F203" s="88"/>
      <c r="G203" s="89"/>
      <c r="H203" s="96"/>
      <c r="I203" s="108" t="s">
        <v>2722</v>
      </c>
    </row>
    <row r="204" spans="1:9" hidden="1" x14ac:dyDescent="0.35">
      <c r="A204" s="44" t="s">
        <v>612</v>
      </c>
      <c r="B204" s="66" t="s">
        <v>613</v>
      </c>
      <c r="C204" s="89"/>
      <c r="D204" s="89"/>
      <c r="E204" s="90"/>
      <c r="F204" s="88"/>
      <c r="G204" s="89"/>
      <c r="H204" s="96"/>
      <c r="I204" s="108" t="s">
        <v>2722</v>
      </c>
    </row>
    <row r="205" spans="1:9" hidden="1" x14ac:dyDescent="0.35">
      <c r="A205" s="44" t="s">
        <v>111</v>
      </c>
      <c r="B205" s="66" t="s">
        <v>112</v>
      </c>
      <c r="C205" s="89"/>
      <c r="D205" s="89"/>
      <c r="E205" s="90"/>
      <c r="F205" s="88"/>
      <c r="G205" s="89"/>
      <c r="H205" s="96"/>
      <c r="I205" s="108" t="s">
        <v>2722</v>
      </c>
    </row>
    <row r="206" spans="1:9" hidden="1" x14ac:dyDescent="0.35">
      <c r="A206" s="44" t="s">
        <v>105</v>
      </c>
      <c r="B206" s="66" t="s">
        <v>106</v>
      </c>
      <c r="C206" s="89"/>
      <c r="D206" s="89"/>
      <c r="E206" s="90"/>
      <c r="F206" s="88"/>
      <c r="G206" s="89"/>
      <c r="H206" s="96"/>
      <c r="I206" s="108" t="s">
        <v>2722</v>
      </c>
    </row>
    <row r="207" spans="1:9" hidden="1" x14ac:dyDescent="0.35">
      <c r="A207" s="44" t="s">
        <v>400</v>
      </c>
      <c r="B207" s="66" t="s">
        <v>48</v>
      </c>
      <c r="C207" s="89"/>
      <c r="D207" s="89"/>
      <c r="E207" s="90"/>
      <c r="F207" s="88"/>
      <c r="G207" s="89"/>
      <c r="H207" s="96"/>
      <c r="I207" s="108" t="s">
        <v>2722</v>
      </c>
    </row>
    <row r="208" spans="1:9" hidden="1" x14ac:dyDescent="0.35">
      <c r="A208" s="44" t="s">
        <v>241</v>
      </c>
      <c r="B208" s="66" t="s">
        <v>242</v>
      </c>
      <c r="C208" s="89"/>
      <c r="D208" s="89"/>
      <c r="E208" s="90"/>
      <c r="F208" s="88"/>
      <c r="G208" s="89"/>
      <c r="H208" s="96"/>
      <c r="I208" s="108" t="s">
        <v>2722</v>
      </c>
    </row>
    <row r="209" spans="1:9" hidden="1" x14ac:dyDescent="0.35">
      <c r="A209" s="44" t="s">
        <v>226</v>
      </c>
      <c r="B209" s="66" t="s">
        <v>227</v>
      </c>
      <c r="C209" s="89"/>
      <c r="D209" s="89"/>
      <c r="E209" s="90"/>
      <c r="F209" s="88"/>
      <c r="G209" s="89"/>
      <c r="H209" s="96"/>
      <c r="I209" s="108" t="s">
        <v>2722</v>
      </c>
    </row>
    <row r="210" spans="1:9" hidden="1" x14ac:dyDescent="0.35">
      <c r="A210" s="44" t="s">
        <v>639</v>
      </c>
      <c r="B210" s="66" t="s">
        <v>2743</v>
      </c>
      <c r="C210" s="89"/>
      <c r="D210" s="89"/>
      <c r="E210" s="90"/>
      <c r="F210" s="88"/>
      <c r="G210" s="89"/>
      <c r="H210" s="96"/>
      <c r="I210" s="108" t="s">
        <v>2722</v>
      </c>
    </row>
    <row r="211" spans="1:9" hidden="1" x14ac:dyDescent="0.35">
      <c r="A211" s="44" t="s">
        <v>627</v>
      </c>
      <c r="B211" s="66" t="s">
        <v>628</v>
      </c>
      <c r="C211" s="89"/>
      <c r="D211" s="89"/>
      <c r="E211" s="90"/>
      <c r="F211" s="88"/>
      <c r="G211" s="89"/>
      <c r="H211" s="96"/>
      <c r="I211" s="108" t="s">
        <v>2722</v>
      </c>
    </row>
    <row r="212" spans="1:9" hidden="1" x14ac:dyDescent="0.35">
      <c r="A212" s="44" t="s">
        <v>259</v>
      </c>
      <c r="B212" s="66" t="s">
        <v>260</v>
      </c>
      <c r="C212" s="89"/>
      <c r="D212" s="89"/>
      <c r="E212" s="90"/>
      <c r="F212" s="88"/>
      <c r="G212" s="89"/>
      <c r="H212" s="96"/>
      <c r="I212" s="108" t="s">
        <v>2732</v>
      </c>
    </row>
    <row r="213" spans="1:9" hidden="1" x14ac:dyDescent="0.35">
      <c r="A213" s="44" t="s">
        <v>257</v>
      </c>
      <c r="B213" s="66" t="s">
        <v>2602</v>
      </c>
      <c r="C213" s="89"/>
      <c r="D213" s="89"/>
      <c r="E213" s="90"/>
      <c r="F213" s="88"/>
      <c r="G213" s="89"/>
      <c r="H213" s="96"/>
      <c r="I213" s="108" t="s">
        <v>2722</v>
      </c>
    </row>
    <row r="214" spans="1:9" hidden="1" x14ac:dyDescent="0.35">
      <c r="A214" s="44" t="s">
        <v>552</v>
      </c>
      <c r="B214" s="66" t="s">
        <v>368</v>
      </c>
      <c r="C214" s="89"/>
      <c r="D214" s="89"/>
      <c r="E214" s="90"/>
      <c r="F214" s="88"/>
      <c r="G214" s="89"/>
      <c r="H214" s="96"/>
      <c r="I214" s="108" t="s">
        <v>2722</v>
      </c>
    </row>
    <row r="215" spans="1:9" hidden="1" x14ac:dyDescent="0.35">
      <c r="A215" s="44" t="s">
        <v>267</v>
      </c>
      <c r="B215" s="66" t="s">
        <v>268</v>
      </c>
      <c r="C215" s="89"/>
      <c r="D215" s="89"/>
      <c r="E215" s="90"/>
      <c r="F215" s="88"/>
      <c r="G215" s="89"/>
      <c r="H215" s="96"/>
      <c r="I215" s="108" t="s">
        <v>2722</v>
      </c>
    </row>
    <row r="216" spans="1:9" hidden="1" x14ac:dyDescent="0.35">
      <c r="A216" s="44" t="s">
        <v>413</v>
      </c>
      <c r="B216" s="66" t="s">
        <v>414</v>
      </c>
      <c r="C216" s="89"/>
      <c r="D216" s="89"/>
      <c r="E216" s="90"/>
      <c r="F216" s="88"/>
      <c r="G216" s="89"/>
      <c r="H216" s="96"/>
      <c r="I216" s="108" t="s">
        <v>2722</v>
      </c>
    </row>
    <row r="217" spans="1:9" hidden="1" x14ac:dyDescent="0.35">
      <c r="A217" s="44"/>
      <c r="B217" s="66" t="s">
        <v>2648</v>
      </c>
      <c r="C217" s="89"/>
      <c r="D217" s="89"/>
      <c r="E217" s="90"/>
      <c r="F217" s="88"/>
      <c r="G217" s="89"/>
      <c r="H217" s="96"/>
      <c r="I217" s="108" t="s">
        <v>2722</v>
      </c>
    </row>
    <row r="218" spans="1:9" hidden="1" x14ac:dyDescent="0.35">
      <c r="A218" s="44" t="s">
        <v>539</v>
      </c>
      <c r="B218" s="66" t="s">
        <v>440</v>
      </c>
      <c r="C218" s="89"/>
      <c r="D218" s="89"/>
      <c r="E218" s="90"/>
      <c r="F218" s="88"/>
      <c r="G218" s="89"/>
      <c r="H218" s="96"/>
      <c r="I218" s="108" t="s">
        <v>2722</v>
      </c>
    </row>
    <row r="219" spans="1:9" hidden="1" x14ac:dyDescent="0.35">
      <c r="A219" s="44" t="s">
        <v>523</v>
      </c>
      <c r="B219" s="66" t="s">
        <v>38</v>
      </c>
      <c r="C219" s="89"/>
      <c r="D219" s="89"/>
      <c r="E219" s="90"/>
      <c r="F219" s="88"/>
      <c r="G219" s="89"/>
      <c r="H219" s="96"/>
      <c r="I219" s="108" t="s">
        <v>2721</v>
      </c>
    </row>
    <row r="220" spans="1:9" hidden="1" x14ac:dyDescent="0.35">
      <c r="A220" s="44" t="s">
        <v>528</v>
      </c>
      <c r="B220" s="66" t="s">
        <v>42</v>
      </c>
      <c r="C220" s="89"/>
      <c r="D220" s="89"/>
      <c r="E220" s="90"/>
      <c r="F220" s="88"/>
      <c r="G220" s="89"/>
      <c r="H220" s="96"/>
      <c r="I220" s="108" t="s">
        <v>2721</v>
      </c>
    </row>
    <row r="221" spans="1:9" hidden="1" x14ac:dyDescent="0.35">
      <c r="A221" s="44" t="s">
        <v>204</v>
      </c>
      <c r="B221" s="66" t="s">
        <v>205</v>
      </c>
      <c r="C221" s="89"/>
      <c r="D221" s="89"/>
      <c r="E221" s="90"/>
      <c r="F221" s="88"/>
      <c r="G221" s="89"/>
      <c r="H221" s="96"/>
      <c r="I221" s="108" t="s">
        <v>2722</v>
      </c>
    </row>
    <row r="222" spans="1:9" hidden="1" x14ac:dyDescent="0.35">
      <c r="A222" s="44" t="s">
        <v>362</v>
      </c>
      <c r="B222" s="66" t="s">
        <v>244</v>
      </c>
      <c r="C222" s="89"/>
      <c r="D222" s="89"/>
      <c r="E222" s="90"/>
      <c r="F222" s="88"/>
      <c r="G222" s="89"/>
      <c r="H222" s="96"/>
      <c r="I222" s="108" t="s">
        <v>2722</v>
      </c>
    </row>
    <row r="223" spans="1:9" hidden="1" x14ac:dyDescent="0.35">
      <c r="A223" s="44" t="s">
        <v>339</v>
      </c>
      <c r="B223" s="66" t="s">
        <v>340</v>
      </c>
      <c r="C223" s="89"/>
      <c r="D223" s="89"/>
      <c r="E223" s="90"/>
      <c r="F223" s="88"/>
      <c r="G223" s="89"/>
      <c r="H223" s="96"/>
      <c r="I223" s="108" t="s">
        <v>2722</v>
      </c>
    </row>
    <row r="224" spans="1:9" hidden="1" x14ac:dyDescent="0.35">
      <c r="A224" s="44" t="s">
        <v>358</v>
      </c>
      <c r="B224" s="66" t="s">
        <v>359</v>
      </c>
      <c r="C224" s="89"/>
      <c r="D224" s="89"/>
      <c r="E224" s="90"/>
      <c r="F224" s="88"/>
      <c r="G224" s="89"/>
      <c r="H224" s="96"/>
      <c r="I224" s="108" t="s">
        <v>2722</v>
      </c>
    </row>
    <row r="225" spans="1:9" hidden="1" x14ac:dyDescent="0.35">
      <c r="A225" s="44" t="s">
        <v>341</v>
      </c>
      <c r="B225" s="66" t="s">
        <v>342</v>
      </c>
      <c r="C225" s="89"/>
      <c r="D225" s="89"/>
      <c r="E225" s="90"/>
      <c r="F225" s="88"/>
      <c r="G225" s="89"/>
      <c r="H225" s="96"/>
      <c r="I225" s="108" t="s">
        <v>2722</v>
      </c>
    </row>
    <row r="226" spans="1:9" hidden="1" x14ac:dyDescent="0.35">
      <c r="A226" s="44" t="s">
        <v>348</v>
      </c>
      <c r="B226" s="66" t="s">
        <v>349</v>
      </c>
      <c r="C226" s="89"/>
      <c r="D226" s="89"/>
      <c r="E226" s="90"/>
      <c r="F226" s="88"/>
      <c r="G226" s="89"/>
      <c r="H226" s="96"/>
      <c r="I226" s="108" t="s">
        <v>2722</v>
      </c>
    </row>
    <row r="227" spans="1:9" hidden="1" x14ac:dyDescent="0.35">
      <c r="A227" s="44" t="s">
        <v>850</v>
      </c>
      <c r="B227" s="66" t="s">
        <v>851</v>
      </c>
      <c r="C227" s="89"/>
      <c r="D227" s="89"/>
      <c r="E227" s="90"/>
      <c r="F227" s="88"/>
      <c r="G227" s="89"/>
      <c r="H227" s="96"/>
      <c r="I227" s="108" t="s">
        <v>2722</v>
      </c>
    </row>
    <row r="228" spans="1:9" hidden="1" x14ac:dyDescent="0.35">
      <c r="A228" s="44" t="s">
        <v>87</v>
      </c>
      <c r="B228" s="66" t="s">
        <v>2735</v>
      </c>
      <c r="C228" s="89"/>
      <c r="D228" s="89"/>
      <c r="E228" s="90"/>
      <c r="F228" s="88"/>
      <c r="G228" s="89"/>
      <c r="H228" s="96"/>
      <c r="I228" s="108" t="s">
        <v>2722</v>
      </c>
    </row>
    <row r="229" spans="1:9" hidden="1" x14ac:dyDescent="0.35">
      <c r="A229" s="44" t="s">
        <v>464</v>
      </c>
      <c r="B229" s="66" t="s">
        <v>465</v>
      </c>
      <c r="C229" s="89"/>
      <c r="D229" s="89"/>
      <c r="E229" s="90"/>
      <c r="F229" s="88"/>
      <c r="G229" s="89"/>
      <c r="H229" s="96"/>
      <c r="I229" s="108" t="s">
        <v>2722</v>
      </c>
    </row>
    <row r="230" spans="1:9" hidden="1" x14ac:dyDescent="0.35">
      <c r="A230" s="44" t="s">
        <v>304</v>
      </c>
      <c r="B230" s="66" t="s">
        <v>305</v>
      </c>
      <c r="C230" s="89"/>
      <c r="D230" s="89"/>
      <c r="E230" s="90"/>
      <c r="F230" s="88"/>
      <c r="G230" s="89"/>
      <c r="H230" s="96"/>
      <c r="I230" s="108" t="s">
        <v>2722</v>
      </c>
    </row>
    <row r="231" spans="1:9" hidden="1" x14ac:dyDescent="0.35">
      <c r="A231" s="44" t="s">
        <v>521</v>
      </c>
      <c r="B231" s="66" t="s">
        <v>34</v>
      </c>
      <c r="C231" s="89"/>
      <c r="D231" s="89"/>
      <c r="E231" s="90"/>
      <c r="F231" s="88"/>
      <c r="G231" s="89"/>
      <c r="H231" s="96"/>
      <c r="I231" s="108" t="s">
        <v>2721</v>
      </c>
    </row>
    <row r="232" spans="1:9" hidden="1" x14ac:dyDescent="0.35">
      <c r="A232" s="44" t="s">
        <v>265</v>
      </c>
      <c r="B232" s="66" t="s">
        <v>2658</v>
      </c>
      <c r="C232" s="89"/>
      <c r="D232" s="89"/>
      <c r="E232" s="90"/>
      <c r="F232" s="88"/>
      <c r="G232" s="89"/>
      <c r="H232" s="96"/>
      <c r="I232" s="108" t="s">
        <v>2722</v>
      </c>
    </row>
    <row r="233" spans="1:9" hidden="1" x14ac:dyDescent="0.35">
      <c r="A233" s="44" t="s">
        <v>532</v>
      </c>
      <c r="B233" s="66" t="s">
        <v>50</v>
      </c>
      <c r="C233" s="89"/>
      <c r="D233" s="89"/>
      <c r="E233" s="90"/>
      <c r="F233" s="88"/>
      <c r="G233" s="89"/>
      <c r="H233" s="96"/>
      <c r="I233" s="108" t="s">
        <v>2721</v>
      </c>
    </row>
    <row r="234" spans="1:9" hidden="1" x14ac:dyDescent="0.35">
      <c r="A234" s="44" t="s">
        <v>637</v>
      </c>
      <c r="B234" s="66" t="s">
        <v>2742</v>
      </c>
      <c r="C234" s="89"/>
      <c r="D234" s="89"/>
      <c r="E234" s="90"/>
      <c r="F234" s="88"/>
      <c r="G234" s="89"/>
      <c r="H234" s="96"/>
      <c r="I234" s="108" t="s">
        <v>2721</v>
      </c>
    </row>
    <row r="235" spans="1:9" hidden="1" x14ac:dyDescent="0.35">
      <c r="A235" s="44" t="s">
        <v>631</v>
      </c>
      <c r="B235" s="66" t="s">
        <v>632</v>
      </c>
      <c r="C235" s="89"/>
      <c r="D235" s="89"/>
      <c r="E235" s="90"/>
      <c r="F235" s="88"/>
      <c r="G235" s="89"/>
      <c r="H235" s="96"/>
      <c r="I235" s="108" t="s">
        <v>2722</v>
      </c>
    </row>
    <row r="236" spans="1:9" hidden="1" x14ac:dyDescent="0.35">
      <c r="A236" s="44" t="s">
        <v>525</v>
      </c>
      <c r="B236" s="66" t="s">
        <v>526</v>
      </c>
      <c r="C236" s="89"/>
      <c r="D236" s="89"/>
      <c r="E236" s="90"/>
      <c r="F236" s="88"/>
      <c r="G236" s="89"/>
      <c r="H236" s="96"/>
      <c r="I236" s="108" t="s">
        <v>2721</v>
      </c>
    </row>
    <row r="237" spans="1:9" hidden="1" x14ac:dyDescent="0.35">
      <c r="A237" s="44" t="s">
        <v>337</v>
      </c>
      <c r="B237" s="66" t="s">
        <v>92</v>
      </c>
      <c r="C237" s="89"/>
      <c r="D237" s="89"/>
      <c r="E237" s="90"/>
      <c r="F237" s="88"/>
      <c r="G237" s="89"/>
      <c r="H237" s="96"/>
      <c r="I237" s="108" t="s">
        <v>2722</v>
      </c>
    </row>
    <row r="238" spans="1:9" hidden="1" x14ac:dyDescent="0.35">
      <c r="A238" s="44"/>
      <c r="B238" s="66" t="s">
        <v>2662</v>
      </c>
      <c r="C238" s="89"/>
      <c r="D238" s="89"/>
      <c r="E238" s="90"/>
      <c r="F238" s="88"/>
      <c r="G238" s="89"/>
      <c r="H238" s="96"/>
      <c r="I238" s="108" t="s">
        <v>2722</v>
      </c>
    </row>
    <row r="239" spans="1:9" hidden="1" x14ac:dyDescent="0.35">
      <c r="A239" s="44" t="s">
        <v>409</v>
      </c>
      <c r="B239" s="66" t="s">
        <v>94</v>
      </c>
      <c r="C239" s="89"/>
      <c r="D239" s="89"/>
      <c r="E239" s="90"/>
      <c r="F239" s="88"/>
      <c r="G239" s="89"/>
      <c r="H239" s="96"/>
      <c r="I239" s="108" t="s">
        <v>2722</v>
      </c>
    </row>
    <row r="240" spans="1:9" hidden="1" x14ac:dyDescent="0.35">
      <c r="A240" s="44" t="s">
        <v>625</v>
      </c>
      <c r="B240" s="66" t="s">
        <v>2739</v>
      </c>
      <c r="C240" s="89"/>
      <c r="D240" s="89"/>
      <c r="E240" s="90"/>
      <c r="F240" s="88"/>
      <c r="G240" s="89"/>
      <c r="H240" s="96"/>
      <c r="I240" s="108" t="s">
        <v>2721</v>
      </c>
    </row>
    <row r="241" spans="1:9" x14ac:dyDescent="0.35">
      <c r="A241" s="44" t="s">
        <v>623</v>
      </c>
      <c r="B241" s="66" t="s">
        <v>624</v>
      </c>
      <c r="C241" s="89"/>
      <c r="D241" s="89"/>
      <c r="E241" s="90"/>
      <c r="F241" s="88"/>
      <c r="G241" s="89"/>
      <c r="H241" s="96"/>
      <c r="I241" s="108" t="s">
        <v>2722</v>
      </c>
    </row>
    <row r="242" spans="1:9" hidden="1" x14ac:dyDescent="0.35">
      <c r="A242" s="44" t="s">
        <v>345</v>
      </c>
      <c r="B242" s="66" t="s">
        <v>346</v>
      </c>
      <c r="C242" s="66"/>
      <c r="D242" s="66"/>
      <c r="E242" s="101"/>
      <c r="F242" s="44"/>
      <c r="G242" s="66"/>
      <c r="H242" s="97"/>
      <c r="I242" s="108" t="s">
        <v>2722</v>
      </c>
    </row>
    <row r="243" spans="1:9" hidden="1" x14ac:dyDescent="0.35">
      <c r="A243" s="44" t="s">
        <v>666</v>
      </c>
      <c r="B243" s="66" t="s">
        <v>2651</v>
      </c>
      <c r="C243" s="89"/>
      <c r="D243" s="89"/>
      <c r="E243" s="90"/>
      <c r="F243" s="88"/>
      <c r="G243" s="89"/>
      <c r="H243" s="96"/>
      <c r="I243" s="108" t="s">
        <v>2722</v>
      </c>
    </row>
    <row r="244" spans="1:9" hidden="1" x14ac:dyDescent="0.35">
      <c r="A244" s="44" t="s">
        <v>323</v>
      </c>
      <c r="B244" s="66" t="s">
        <v>40</v>
      </c>
      <c r="C244" s="89"/>
      <c r="D244" s="89"/>
      <c r="E244" s="90"/>
      <c r="F244" s="88"/>
      <c r="G244" s="89"/>
      <c r="H244" s="96"/>
      <c r="I244" s="108" t="s">
        <v>2721</v>
      </c>
    </row>
    <row r="245" spans="1:9" x14ac:dyDescent="0.35">
      <c r="A245" s="44" t="s">
        <v>611</v>
      </c>
      <c r="B245" s="66" t="s">
        <v>98</v>
      </c>
      <c r="C245" s="89"/>
      <c r="D245" s="89"/>
      <c r="E245" s="90"/>
      <c r="F245" s="88"/>
      <c r="G245" s="89"/>
      <c r="H245" s="96"/>
      <c r="I245" s="108" t="s">
        <v>2722</v>
      </c>
    </row>
    <row r="246" spans="1:9" hidden="1" x14ac:dyDescent="0.35">
      <c r="A246" s="44" t="s">
        <v>353</v>
      </c>
      <c r="B246" s="66" t="s">
        <v>2740</v>
      </c>
      <c r="C246" s="89"/>
      <c r="D246" s="89"/>
      <c r="E246" s="90"/>
      <c r="F246" s="88"/>
      <c r="G246" s="89"/>
      <c r="H246" s="96"/>
      <c r="I246" s="108" t="s">
        <v>2722</v>
      </c>
    </row>
    <row r="247" spans="1:9" hidden="1" x14ac:dyDescent="0.35">
      <c r="A247" s="44" t="s">
        <v>59</v>
      </c>
      <c r="B247" s="66" t="s">
        <v>60</v>
      </c>
      <c r="C247" s="89"/>
      <c r="D247" s="89"/>
      <c r="E247" s="90"/>
      <c r="F247" s="88"/>
      <c r="G247" s="89"/>
      <c r="H247" s="96"/>
      <c r="I247" s="108" t="s">
        <v>2722</v>
      </c>
    </row>
    <row r="248" spans="1:9" hidden="1" x14ac:dyDescent="0.35">
      <c r="A248" s="44" t="s">
        <v>529</v>
      </c>
      <c r="B248" s="66" t="s">
        <v>44</v>
      </c>
      <c r="C248" s="89"/>
      <c r="D248" s="89"/>
      <c r="E248" s="90"/>
      <c r="F248" s="88"/>
      <c r="G248" s="89"/>
      <c r="H248" s="96"/>
      <c r="I248" s="108" t="s">
        <v>2721</v>
      </c>
    </row>
    <row r="249" spans="1:9" hidden="1" x14ac:dyDescent="0.35">
      <c r="A249" s="44" t="s">
        <v>109</v>
      </c>
      <c r="B249" s="66" t="s">
        <v>110</v>
      </c>
      <c r="C249" s="89"/>
      <c r="D249" s="89"/>
      <c r="E249" s="90"/>
      <c r="F249" s="88"/>
      <c r="G249" s="89"/>
      <c r="H249" s="96"/>
      <c r="I249" s="108" t="s">
        <v>2722</v>
      </c>
    </row>
    <row r="250" spans="1:9" hidden="1" x14ac:dyDescent="0.35">
      <c r="A250" s="44" t="s">
        <v>620</v>
      </c>
      <c r="B250" s="66" t="s">
        <v>621</v>
      </c>
      <c r="C250" s="89"/>
      <c r="D250" s="89"/>
      <c r="E250" s="90"/>
      <c r="F250" s="88"/>
      <c r="G250" s="89"/>
      <c r="H250" s="96"/>
      <c r="I250" s="108" t="s">
        <v>2722</v>
      </c>
    </row>
    <row r="251" spans="1:9" hidden="1" x14ac:dyDescent="0.35">
      <c r="A251" s="44" t="s">
        <v>618</v>
      </c>
      <c r="B251" s="66" t="s">
        <v>619</v>
      </c>
      <c r="C251" s="89"/>
      <c r="D251" s="89"/>
      <c r="E251" s="90"/>
      <c r="F251" s="88"/>
      <c r="G251" s="89"/>
      <c r="H251" s="96"/>
      <c r="I251" s="108" t="s">
        <v>2722</v>
      </c>
    </row>
    <row r="252" spans="1:9" hidden="1" x14ac:dyDescent="0.35">
      <c r="A252" s="44" t="s">
        <v>302</v>
      </c>
      <c r="B252" s="66" t="s">
        <v>303</v>
      </c>
      <c r="C252" s="89"/>
      <c r="D252" s="89"/>
      <c r="E252" s="90"/>
      <c r="F252" s="88"/>
      <c r="G252" s="89"/>
      <c r="H252" s="96"/>
      <c r="I252" s="108" t="s">
        <v>2722</v>
      </c>
    </row>
    <row r="253" spans="1:9" hidden="1" x14ac:dyDescent="0.35">
      <c r="A253" s="44" t="s">
        <v>83</v>
      </c>
      <c r="B253" s="66" t="s">
        <v>84</v>
      </c>
      <c r="C253" s="89"/>
      <c r="D253" s="89"/>
      <c r="E253" s="90"/>
      <c r="F253" s="88"/>
      <c r="G253" s="89"/>
      <c r="H253" s="96"/>
      <c r="I253" s="108" t="s">
        <v>2722</v>
      </c>
    </row>
    <row r="254" spans="1:9" hidden="1" x14ac:dyDescent="0.35">
      <c r="A254" s="44" t="s">
        <v>740</v>
      </c>
      <c r="B254" s="66" t="s">
        <v>741</v>
      </c>
      <c r="C254" s="89"/>
      <c r="D254" s="89"/>
      <c r="E254" s="90"/>
      <c r="F254" s="88"/>
      <c r="G254" s="89"/>
      <c r="H254" s="96"/>
      <c r="I254" s="108" t="s">
        <v>2722</v>
      </c>
    </row>
    <row r="255" spans="1:9" hidden="1" x14ac:dyDescent="0.35">
      <c r="A255" s="44"/>
      <c r="B255" s="66" t="s">
        <v>2655</v>
      </c>
      <c r="C255" s="89"/>
      <c r="D255" s="89"/>
      <c r="E255" s="90"/>
      <c r="F255" s="88"/>
      <c r="G255" s="89"/>
      <c r="H255" s="96"/>
      <c r="I255" s="108" t="s">
        <v>2722</v>
      </c>
    </row>
    <row r="256" spans="1:9" hidden="1" x14ac:dyDescent="0.35">
      <c r="A256" s="44" t="s">
        <v>633</v>
      </c>
      <c r="B256" s="66" t="s">
        <v>634</v>
      </c>
      <c r="C256" s="89"/>
      <c r="D256" s="89"/>
      <c r="E256" s="90"/>
      <c r="F256" s="88"/>
      <c r="G256" s="89"/>
      <c r="H256" s="96"/>
      <c r="I256" s="108" t="s">
        <v>2722</v>
      </c>
    </row>
    <row r="257" spans="1:9" hidden="1" x14ac:dyDescent="0.35">
      <c r="A257" s="44" t="s">
        <v>61</v>
      </c>
      <c r="B257" s="66" t="s">
        <v>62</v>
      </c>
      <c r="C257" s="89"/>
      <c r="D257" s="89"/>
      <c r="E257" s="90"/>
      <c r="F257" s="88"/>
      <c r="G257" s="89"/>
      <c r="H257" s="96"/>
      <c r="I257" s="108" t="s">
        <v>2722</v>
      </c>
    </row>
    <row r="258" spans="1:9" hidden="1" x14ac:dyDescent="0.35">
      <c r="A258" s="44" t="s">
        <v>2605</v>
      </c>
      <c r="B258" s="66" t="s">
        <v>2659</v>
      </c>
      <c r="C258" s="89"/>
      <c r="D258" s="89"/>
      <c r="E258" s="90"/>
      <c r="F258" s="88"/>
      <c r="G258" s="89"/>
      <c r="H258" s="96"/>
      <c r="I258" s="108" t="s">
        <v>2722</v>
      </c>
    </row>
    <row r="259" spans="1:9" hidden="1" x14ac:dyDescent="0.35">
      <c r="A259" s="44" t="s">
        <v>795</v>
      </c>
      <c r="B259" s="66" t="s">
        <v>796</v>
      </c>
      <c r="C259" s="89"/>
      <c r="D259" s="89"/>
      <c r="E259" s="90"/>
      <c r="F259" s="88"/>
      <c r="G259" s="89"/>
      <c r="H259" s="96"/>
      <c r="I259" s="108" t="s">
        <v>2722</v>
      </c>
    </row>
    <row r="260" spans="1:9" ht="15" thickBot="1" x14ac:dyDescent="0.4">
      <c r="A260" s="98" t="s">
        <v>602</v>
      </c>
      <c r="B260" s="85" t="s">
        <v>603</v>
      </c>
      <c r="C260" s="103"/>
      <c r="D260" s="103"/>
      <c r="E260" s="104"/>
      <c r="F260" s="105"/>
      <c r="G260" s="103"/>
      <c r="H260" s="106"/>
      <c r="I260" s="125" t="s">
        <v>2722</v>
      </c>
    </row>
    <row r="262" spans="1:9" ht="15" thickBot="1" x14ac:dyDescent="0.4">
      <c r="B262" s="117" t="s">
        <v>2546</v>
      </c>
      <c r="C262" s="112">
        <f>SUM(C102:C260)</f>
        <v>0</v>
      </c>
      <c r="D262" s="112">
        <f t="shared" ref="D262:G262" si="1">SUM(D102:D260)</f>
        <v>0</v>
      </c>
      <c r="E262" s="112">
        <f t="shared" si="1"/>
        <v>0</v>
      </c>
      <c r="F262" s="112">
        <f t="shared" si="1"/>
        <v>0</v>
      </c>
      <c r="G262" s="112">
        <f t="shared" si="1"/>
        <v>0</v>
      </c>
      <c r="H262" s="112">
        <f t="shared" ref="H262" si="2">SUM(H102:H260)</f>
        <v>0</v>
      </c>
    </row>
    <row r="263" spans="1:9" ht="15" thickTop="1" x14ac:dyDescent="0.35"/>
    <row r="264" spans="1:9" ht="15" thickBot="1" x14ac:dyDescent="0.4">
      <c r="B264" s="117" t="s">
        <v>2674</v>
      </c>
      <c r="C264" s="112">
        <f t="shared" ref="C264:G264" si="3">+C99+C262</f>
        <v>0</v>
      </c>
      <c r="D264" s="112">
        <f t="shared" si="3"/>
        <v>0</v>
      </c>
      <c r="E264" s="112">
        <f t="shared" si="3"/>
        <v>0</v>
      </c>
      <c r="F264" s="112">
        <f t="shared" si="3"/>
        <v>0</v>
      </c>
      <c r="G264" s="112">
        <f t="shared" si="3"/>
        <v>0</v>
      </c>
      <c r="H264" s="112">
        <f t="shared" ref="H264" si="4">+H99+H262</f>
        <v>0</v>
      </c>
    </row>
    <row r="265" spans="1:9" ht="15" thickTop="1" x14ac:dyDescent="0.35"/>
  </sheetData>
  <pageMargins left="0.7" right="0.7" top="0.75" bottom="0.75" header="0.3" footer="0.3"/>
  <pageSetup scale="64" orientation="portrait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filterMode="1">
    <tabColor theme="3"/>
    <pageSetUpPr fitToPage="1"/>
  </sheetPr>
  <dimension ref="A1:I296"/>
  <sheetViews>
    <sheetView topLeftCell="A65" zoomScale="69" zoomScaleNormal="69" workbookViewId="0">
      <selection activeCell="G189" sqref="G189"/>
    </sheetView>
  </sheetViews>
  <sheetFormatPr defaultColWidth="9.1796875" defaultRowHeight="14.5" x14ac:dyDescent="0.35"/>
  <cols>
    <col min="1" max="1" width="61.36328125" style="113" customWidth="1"/>
    <col min="2" max="2" width="18.7265625" style="111" bestFit="1" customWidth="1"/>
    <col min="3" max="3" width="18.7265625" style="111" customWidth="1"/>
    <col min="4" max="4" width="18.7265625" style="111" bestFit="1" customWidth="1"/>
    <col min="5" max="5" width="21.1796875" style="113" customWidth="1"/>
    <col min="6" max="7" width="19.54296875" style="113" bestFit="1" customWidth="1"/>
    <col min="8" max="8" width="36.54296875" style="113" customWidth="1"/>
    <col min="9" max="9" width="35.1796875" style="113" customWidth="1"/>
    <col min="10" max="16384" width="9.1796875" style="113"/>
  </cols>
  <sheetData>
    <row r="1" spans="1:9" ht="15" thickBot="1" x14ac:dyDescent="0.4">
      <c r="F1" s="118">
        <v>13</v>
      </c>
      <c r="G1" s="118"/>
    </row>
    <row r="2" spans="1:9" ht="29.5" thickBot="1" x14ac:dyDescent="0.4">
      <c r="A2" s="120" t="s">
        <v>2811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17" t="s">
        <v>2694</v>
      </c>
      <c r="E4" s="111"/>
      <c r="F4" s="116"/>
      <c r="G4" s="116"/>
    </row>
    <row r="5" spans="1:9" x14ac:dyDescent="0.35">
      <c r="A5" s="117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x14ac:dyDescent="0.35">
      <c r="A26" s="66" t="s">
        <v>2826</v>
      </c>
      <c r="B26" s="89">
        <v>0</v>
      </c>
      <c r="C26" s="89"/>
      <c r="D26" s="235">
        <v>0</v>
      </c>
      <c r="E26" s="235">
        <v>-1000000</v>
      </c>
      <c r="F26" s="235">
        <v>0</v>
      </c>
      <c r="G26" s="235">
        <v>0</v>
      </c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x14ac:dyDescent="0.35">
      <c r="A65" s="66" t="s">
        <v>2829</v>
      </c>
      <c r="B65" s="89"/>
      <c r="C65" s="89"/>
      <c r="D65" s="235"/>
      <c r="E65" s="235">
        <f>-8065000+739900</f>
        <v>-7325100</v>
      </c>
      <c r="F65" s="235">
        <v>-8352000</v>
      </c>
      <c r="G65" s="235">
        <v>-8562000</v>
      </c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>
        <v>0</v>
      </c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>
        <v>0</v>
      </c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>
        <v>0</v>
      </c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>
        <v>0</v>
      </c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>
        <v>0</v>
      </c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>
        <v>0</v>
      </c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>
        <v>0</v>
      </c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>
        <v>0</v>
      </c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>
        <v>0</v>
      </c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>
        <v>0</v>
      </c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>
        <v>0</v>
      </c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>
        <v>0</v>
      </c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>
        <v>0</v>
      </c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>
        <v>0</v>
      </c>
      <c r="C93" s="89">
        <v>0</v>
      </c>
      <c r="D93" s="89">
        <v>0</v>
      </c>
      <c r="E93" s="89">
        <v>0</v>
      </c>
      <c r="F93" s="89">
        <v>0</v>
      </c>
      <c r="G93" s="89">
        <v>0</v>
      </c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>
        <v>0</v>
      </c>
      <c r="D95" s="89">
        <v>0</v>
      </c>
      <c r="E95" s="89">
        <v>0</v>
      </c>
      <c r="F95" s="89">
        <v>0</v>
      </c>
      <c r="G95" s="89">
        <v>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>
        <v>0</v>
      </c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9" ht="15" thickBot="1" x14ac:dyDescent="0.4">
      <c r="A121" s="117" t="s">
        <v>2545</v>
      </c>
      <c r="B121" s="112">
        <f t="shared" ref="B121:G121" si="0">SUM(B2:B119)</f>
        <v>0</v>
      </c>
      <c r="C121" s="112">
        <f t="shared" si="0"/>
        <v>0</v>
      </c>
      <c r="D121" s="112">
        <f t="shared" si="0"/>
        <v>0</v>
      </c>
      <c r="E121" s="112">
        <f t="shared" si="0"/>
        <v>-8325100</v>
      </c>
      <c r="F121" s="112">
        <f t="shared" si="0"/>
        <v>-8352000</v>
      </c>
      <c r="G121" s="112">
        <f t="shared" si="0"/>
        <v>-8562000</v>
      </c>
    </row>
    <row r="122" spans="1:9" ht="15" thickTop="1" x14ac:dyDescent="0.35"/>
    <row r="123" spans="1:9" x14ac:dyDescent="0.35">
      <c r="A123" s="117" t="s">
        <v>2695</v>
      </c>
    </row>
    <row r="124" spans="1:9" x14ac:dyDescent="0.35">
      <c r="A124" s="117"/>
    </row>
    <row r="125" spans="1:9" hidden="1" x14ac:dyDescent="0.35">
      <c r="A125" s="66" t="s">
        <v>3438</v>
      </c>
      <c r="B125" s="89"/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/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/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/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/>
      <c r="C129" s="89"/>
      <c r="D129" s="89"/>
      <c r="E129" s="89"/>
      <c r="F129" s="89"/>
      <c r="G129" s="89"/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/>
      <c r="C130" s="89"/>
      <c r="D130" s="89"/>
      <c r="E130" s="89"/>
      <c r="F130" s="89"/>
      <c r="G130" s="89"/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/>
      <c r="C131" s="89"/>
      <c r="D131" s="89"/>
      <c r="E131" s="89"/>
      <c r="F131" s="89"/>
      <c r="G131" s="89"/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/>
      <c r="C132" s="89"/>
      <c r="D132" s="89"/>
      <c r="E132" s="89"/>
      <c r="F132" s="89"/>
      <c r="G132" s="89"/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/>
      <c r="C133" s="89"/>
      <c r="D133" s="89"/>
      <c r="E133" s="89"/>
      <c r="F133" s="89"/>
      <c r="G133" s="89"/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235">
        <f>674.85*12</f>
        <v>8098.2000000000007</v>
      </c>
      <c r="E135" s="235">
        <v>8500</v>
      </c>
      <c r="F135" s="235">
        <v>8900</v>
      </c>
      <c r="G135" s="235">
        <v>9400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89"/>
      <c r="F137" s="89"/>
      <c r="G137" s="89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89"/>
      <c r="F138" s="89"/>
      <c r="G138" s="89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>
        <v>25000</v>
      </c>
      <c r="C154" s="89">
        <v>25000</v>
      </c>
      <c r="D154" s="235">
        <v>21514.26</v>
      </c>
      <c r="E154" s="235">
        <v>0</v>
      </c>
      <c r="F154" s="235"/>
      <c r="G154" s="235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234"/>
      <c r="F155" s="234"/>
      <c r="G155" s="234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234"/>
      <c r="F156" s="234"/>
      <c r="G156" s="234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234"/>
      <c r="F157" s="234"/>
      <c r="G157" s="234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234"/>
      <c r="F158" s="234"/>
      <c r="G158" s="234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234"/>
      <c r="F159" s="234"/>
      <c r="G159" s="234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234"/>
      <c r="F160" s="234"/>
      <c r="G160" s="234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234"/>
      <c r="F161" s="234"/>
      <c r="G161" s="234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234"/>
      <c r="F162" s="234"/>
      <c r="G162" s="234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234"/>
      <c r="F163" s="234"/>
      <c r="G163" s="234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234"/>
      <c r="F164" s="234"/>
      <c r="G164" s="234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234"/>
      <c r="F165" s="234"/>
      <c r="G165" s="234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234"/>
      <c r="F166" s="234"/>
      <c r="G166" s="234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234"/>
      <c r="F167" s="234"/>
      <c r="G167" s="234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234"/>
      <c r="F168" s="234"/>
      <c r="G168" s="234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234"/>
      <c r="F169" s="234"/>
      <c r="G169" s="234"/>
      <c r="H169" s="66" t="str">
        <f>VLOOKUP(A169,'Tot KPA'!A:H,8,0)</f>
        <v>Other expenditure</v>
      </c>
      <c r="I169" s="66">
        <f>VLOOKUP(A169,'Tot KPA'!A:I,9,0)</f>
        <v>0</v>
      </c>
    </row>
    <row r="170" spans="1:9" x14ac:dyDescent="0.35">
      <c r="A170" s="66" t="s">
        <v>2849</v>
      </c>
      <c r="B170" s="89">
        <v>100000</v>
      </c>
      <c r="C170" s="89">
        <v>100000</v>
      </c>
      <c r="D170" s="235">
        <v>1500000</v>
      </c>
      <c r="E170" s="235">
        <v>1600000</v>
      </c>
      <c r="F170" s="235">
        <v>1674000</v>
      </c>
      <c r="G170" s="235">
        <v>1751000</v>
      </c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234"/>
      <c r="F171" s="234"/>
      <c r="G171" s="234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234"/>
      <c r="F172" s="234"/>
      <c r="G172" s="234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234"/>
      <c r="F173" s="234"/>
      <c r="G173" s="234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234"/>
      <c r="F174" s="234"/>
      <c r="G174" s="234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234"/>
      <c r="F175" s="234"/>
      <c r="G175" s="234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234"/>
      <c r="F176" s="234"/>
      <c r="G176" s="234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234"/>
      <c r="F177" s="234"/>
      <c r="G177" s="234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234"/>
      <c r="F178" s="234"/>
      <c r="G178" s="234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234"/>
      <c r="F179" s="234"/>
      <c r="G179" s="234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234"/>
      <c r="F180" s="234"/>
      <c r="G180" s="234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234"/>
      <c r="F181" s="234"/>
      <c r="G181" s="234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234"/>
      <c r="F182" s="234"/>
      <c r="G182" s="234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f>1200+1400</f>
        <v>2600</v>
      </c>
      <c r="C183" s="89">
        <f>1200+1400</f>
        <v>2600</v>
      </c>
      <c r="D183" s="235">
        <v>2691</v>
      </c>
      <c r="E183" s="235">
        <v>3000</v>
      </c>
      <c r="F183" s="235">
        <v>3200</v>
      </c>
      <c r="G183" s="235">
        <v>3400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f>138400+117200</f>
        <v>255600</v>
      </c>
      <c r="C184" s="89">
        <f>138400+117200</f>
        <v>255600</v>
      </c>
      <c r="D184" s="235">
        <v>241319.06</v>
      </c>
      <c r="E184" s="235">
        <v>263800</v>
      </c>
      <c r="F184" s="235">
        <v>281000</v>
      </c>
      <c r="G184" s="235">
        <v>299300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/>
      <c r="C185" s="89"/>
      <c r="D185" s="89"/>
      <c r="E185" s="234"/>
      <c r="F185" s="234"/>
      <c r="G185" s="234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13500</v>
      </c>
      <c r="C186" s="89">
        <v>13500</v>
      </c>
      <c r="D186" s="235">
        <v>75542.39</v>
      </c>
      <c r="E186" s="235">
        <v>81000</v>
      </c>
      <c r="F186" s="235">
        <v>86300</v>
      </c>
      <c r="G186" s="235">
        <v>92000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x14ac:dyDescent="0.35">
      <c r="A190" s="66" t="s">
        <v>2904</v>
      </c>
      <c r="B190" s="89"/>
      <c r="C190" s="89"/>
      <c r="D190" s="89"/>
      <c r="E190" s="234"/>
      <c r="F190" s="234"/>
      <c r="G190" s="234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f>229000+253200</f>
        <v>482200</v>
      </c>
      <c r="C191" s="89">
        <f>229000+253200</f>
        <v>482200</v>
      </c>
      <c r="D191" s="235">
        <v>465423.39</v>
      </c>
      <c r="E191" s="235">
        <v>519500</v>
      </c>
      <c r="F191" s="235">
        <v>553300</v>
      </c>
      <c r="G191" s="235">
        <v>589300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x14ac:dyDescent="0.35">
      <c r="A192" s="66" t="s">
        <v>3039</v>
      </c>
      <c r="B192" s="89"/>
      <c r="C192" s="89"/>
      <c r="D192" s="89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f>1660800+1406300</f>
        <v>3067100</v>
      </c>
      <c r="C193" s="89">
        <f>1660800+1406300</f>
        <v>3067100</v>
      </c>
      <c r="D193" s="235">
        <v>3051888.01</v>
      </c>
      <c r="E193" s="235">
        <v>3163000</v>
      </c>
      <c r="F193" s="235">
        <v>3368600</v>
      </c>
      <c r="G193" s="235">
        <v>3587600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>
        <v>60000</v>
      </c>
      <c r="C195" s="89">
        <v>60000</v>
      </c>
      <c r="D195" s="235">
        <v>58900</v>
      </c>
      <c r="E195" s="235">
        <v>60000</v>
      </c>
      <c r="F195" s="235">
        <v>63300</v>
      </c>
      <c r="G195" s="235">
        <v>66800</v>
      </c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89">
        <v>0</v>
      </c>
      <c r="C196" s="89">
        <v>0</v>
      </c>
      <c r="D196" s="89"/>
      <c r="E196" s="234">
        <v>0</v>
      </c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f>14600+14100</f>
        <v>28700</v>
      </c>
      <c r="C198" s="89">
        <f>14600+14100</f>
        <v>28700</v>
      </c>
      <c r="D198" s="235">
        <v>27814.55</v>
      </c>
      <c r="E198" s="235">
        <v>29700</v>
      </c>
      <c r="F198" s="235">
        <v>31700</v>
      </c>
      <c r="G198" s="235">
        <v>33800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>
        <v>2000</v>
      </c>
      <c r="C201" s="89">
        <v>2000</v>
      </c>
      <c r="D201" s="235">
        <v>1962.11</v>
      </c>
      <c r="E201" s="235">
        <v>2000</v>
      </c>
      <c r="F201" s="235">
        <f>+E201</f>
        <v>2000</v>
      </c>
      <c r="G201" s="235">
        <f>+F201</f>
        <v>2000</v>
      </c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>
        <v>0</v>
      </c>
      <c r="C202" s="89">
        <v>0</v>
      </c>
      <c r="D202" s="235">
        <v>0</v>
      </c>
      <c r="E202" s="235">
        <v>50000</v>
      </c>
      <c r="F202" s="235">
        <v>0</v>
      </c>
      <c r="G202" s="235">
        <v>0</v>
      </c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>
        <v>0</v>
      </c>
      <c r="C203" s="89">
        <v>0</v>
      </c>
      <c r="D203" s="235">
        <v>0</v>
      </c>
      <c r="E203" s="235">
        <v>60000</v>
      </c>
      <c r="F203" s="235">
        <v>0</v>
      </c>
      <c r="G203" s="235">
        <v>0</v>
      </c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>
        <v>0</v>
      </c>
      <c r="C204" s="89">
        <v>0</v>
      </c>
      <c r="D204" s="235">
        <v>0</v>
      </c>
      <c r="E204" s="235">
        <v>85000</v>
      </c>
      <c r="F204" s="235">
        <v>0</v>
      </c>
      <c r="G204" s="235">
        <v>0</v>
      </c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>
        <v>0</v>
      </c>
      <c r="C205" s="89">
        <v>0</v>
      </c>
      <c r="D205" s="235">
        <v>0</v>
      </c>
      <c r="E205" s="235">
        <v>70000</v>
      </c>
      <c r="F205" s="235">
        <v>0</v>
      </c>
      <c r="G205" s="235">
        <v>0</v>
      </c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>
        <v>0</v>
      </c>
      <c r="C206" s="89">
        <v>0</v>
      </c>
      <c r="D206" s="235">
        <v>0</v>
      </c>
      <c r="E206" s="235">
        <v>90000</v>
      </c>
      <c r="F206" s="235">
        <v>0</v>
      </c>
      <c r="G206" s="235">
        <v>0</v>
      </c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>
        <v>0</v>
      </c>
      <c r="C207" s="89">
        <v>0</v>
      </c>
      <c r="D207" s="235">
        <v>0</v>
      </c>
      <c r="E207" s="235">
        <v>65000</v>
      </c>
      <c r="F207" s="235">
        <v>0</v>
      </c>
      <c r="G207" s="235">
        <v>0</v>
      </c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>
        <v>0</v>
      </c>
      <c r="C208" s="89">
        <v>0</v>
      </c>
      <c r="D208" s="235">
        <v>0</v>
      </c>
      <c r="E208" s="235">
        <v>580000</v>
      </c>
      <c r="F208" s="235">
        <v>0</v>
      </c>
      <c r="G208" s="235">
        <v>0</v>
      </c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234"/>
      <c r="F209" s="234"/>
      <c r="G209" s="234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234"/>
      <c r="F210" s="234"/>
      <c r="G210" s="234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234"/>
      <c r="F211" s="234"/>
      <c r="G211" s="234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234"/>
      <c r="F212" s="234"/>
      <c r="G212" s="234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234"/>
      <c r="F213" s="234"/>
      <c r="G213" s="234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v>10000</v>
      </c>
      <c r="C214" s="89">
        <v>10000</v>
      </c>
      <c r="D214" s="235">
        <v>18900.349999999999</v>
      </c>
      <c r="E214" s="235">
        <v>20000</v>
      </c>
      <c r="F214" s="235">
        <v>20900</v>
      </c>
      <c r="G214" s="235">
        <v>21900</v>
      </c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234"/>
      <c r="F215" s="234"/>
      <c r="G215" s="234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234"/>
      <c r="F216" s="234"/>
      <c r="G216" s="234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234"/>
      <c r="F217" s="234"/>
      <c r="G217" s="234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234"/>
      <c r="F218" s="234"/>
      <c r="G218" s="234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234"/>
      <c r="F219" s="234"/>
      <c r="G219" s="234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234"/>
      <c r="F220" s="234"/>
      <c r="G220" s="234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234"/>
      <c r="F221" s="234"/>
      <c r="G221" s="234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>
        <v>53000</v>
      </c>
      <c r="C222" s="89">
        <v>53000</v>
      </c>
      <c r="D222" s="235">
        <v>30300</v>
      </c>
      <c r="E222" s="235">
        <v>7500</v>
      </c>
      <c r="F222" s="235">
        <v>7900</v>
      </c>
      <c r="G222" s="235">
        <v>8300</v>
      </c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234"/>
      <c r="F223" s="234"/>
      <c r="G223" s="234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234"/>
      <c r="F224" s="234"/>
      <c r="G224" s="234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234"/>
      <c r="F225" s="234"/>
      <c r="G225" s="234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234"/>
      <c r="F226" s="234"/>
      <c r="G226" s="234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234"/>
      <c r="F227" s="234"/>
      <c r="G227" s="234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4"/>
      <c r="F228" s="234"/>
      <c r="G228" s="234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>
        <v>120000</v>
      </c>
      <c r="C229" s="89">
        <v>120000</v>
      </c>
      <c r="D229" s="235">
        <v>139845.67000000001</v>
      </c>
      <c r="E229" s="235">
        <v>120000</v>
      </c>
      <c r="F229" s="235">
        <f>+E229*1.055</f>
        <v>126599.99999999999</v>
      </c>
      <c r="G229" s="235">
        <v>111300</v>
      </c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235"/>
      <c r="E230" s="235"/>
      <c r="F230" s="235"/>
      <c r="G230" s="235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235"/>
      <c r="E231" s="235"/>
      <c r="F231" s="235"/>
      <c r="G231" s="235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235"/>
      <c r="E232" s="235"/>
      <c r="F232" s="235"/>
      <c r="G232" s="235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235"/>
      <c r="E233" s="235"/>
      <c r="F233" s="235"/>
      <c r="G233" s="235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>
        <v>50000</v>
      </c>
      <c r="C234" s="89">
        <v>50000</v>
      </c>
      <c r="D234" s="235">
        <v>22153.08</v>
      </c>
      <c r="E234" s="235">
        <v>50000</v>
      </c>
      <c r="F234" s="235">
        <f>+E234*1.054</f>
        <v>52700</v>
      </c>
      <c r="G234" s="235">
        <v>55600</v>
      </c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>
        <v>50000</v>
      </c>
      <c r="C235" s="89">
        <v>50000</v>
      </c>
      <c r="D235" s="235">
        <v>1500.39</v>
      </c>
      <c r="E235" s="235">
        <v>50000</v>
      </c>
      <c r="F235" s="235">
        <f>+E235*1.054</f>
        <v>52700</v>
      </c>
      <c r="G235" s="235">
        <v>55600</v>
      </c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235"/>
      <c r="F236" s="235"/>
      <c r="G236" s="235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>
        <v>80000</v>
      </c>
      <c r="C237" s="89">
        <v>80000</v>
      </c>
      <c r="D237" s="235">
        <v>78912.37</v>
      </c>
      <c r="E237" s="235">
        <v>80000</v>
      </c>
      <c r="F237" s="235">
        <v>84000</v>
      </c>
      <c r="G237" s="235">
        <v>90000</v>
      </c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234"/>
      <c r="F238" s="234"/>
      <c r="G238" s="234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234"/>
      <c r="F239" s="234"/>
      <c r="G239" s="234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234"/>
      <c r="F240" s="234"/>
      <c r="G240" s="234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234"/>
      <c r="F241" s="234"/>
      <c r="G241" s="234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234"/>
      <c r="F242" s="234"/>
      <c r="G242" s="234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234"/>
      <c r="F243" s="234"/>
      <c r="G243" s="234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234"/>
      <c r="F244" s="234"/>
      <c r="G244" s="234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234"/>
      <c r="F245" s="234"/>
      <c r="G245" s="234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234"/>
      <c r="F246" s="234"/>
      <c r="G246" s="234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234"/>
      <c r="F247" s="234"/>
      <c r="G247" s="234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234"/>
      <c r="F248" s="234"/>
      <c r="G248" s="234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234"/>
      <c r="F249" s="234"/>
      <c r="G249" s="234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234"/>
      <c r="F250" s="234"/>
      <c r="G250" s="234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234"/>
      <c r="F251" s="234"/>
      <c r="G251" s="234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234"/>
      <c r="F252" s="234"/>
      <c r="G252" s="234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234"/>
      <c r="F253" s="234"/>
      <c r="G253" s="234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235"/>
      <c r="E254" s="235">
        <f>8065000-739900</f>
        <v>7325100</v>
      </c>
      <c r="F254" s="235">
        <v>8352000</v>
      </c>
      <c r="G254" s="235">
        <v>8562000</v>
      </c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234"/>
      <c r="F255" s="234"/>
      <c r="G255" s="234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>
        <v>0</v>
      </c>
      <c r="C256" s="89">
        <v>0</v>
      </c>
      <c r="D256" s="89"/>
      <c r="E256" s="234">
        <v>0</v>
      </c>
      <c r="F256" s="234">
        <v>0</v>
      </c>
      <c r="G256" s="234">
        <v>0</v>
      </c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234"/>
      <c r="F257" s="234"/>
      <c r="G257" s="234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234"/>
      <c r="F258" s="234"/>
      <c r="G258" s="234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234"/>
      <c r="F259" s="234"/>
      <c r="G259" s="234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234"/>
      <c r="F260" s="234"/>
      <c r="G260" s="234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234"/>
      <c r="F261" s="234"/>
      <c r="G261" s="234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234"/>
      <c r="F262" s="234"/>
      <c r="G262" s="234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234"/>
      <c r="F263" s="234"/>
      <c r="G263" s="234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234"/>
      <c r="F264" s="234"/>
      <c r="G264" s="234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234"/>
      <c r="F265" s="234"/>
      <c r="G265" s="234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234"/>
      <c r="F266" s="234"/>
      <c r="G266" s="234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234"/>
      <c r="F267" s="234"/>
      <c r="G267" s="234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234"/>
      <c r="F268" s="234"/>
      <c r="G268" s="234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234"/>
      <c r="F269" s="234"/>
      <c r="G269" s="234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234"/>
      <c r="F270" s="234"/>
      <c r="G270" s="234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234"/>
      <c r="F271" s="234"/>
      <c r="G271" s="234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f>16700+14100</f>
        <v>30800</v>
      </c>
      <c r="C272" s="89">
        <f>16700+14100</f>
        <v>30800</v>
      </c>
      <c r="D272" s="235">
        <v>29875.3</v>
      </c>
      <c r="E272" s="235">
        <v>31900</v>
      </c>
      <c r="F272" s="235">
        <v>34000</v>
      </c>
      <c r="G272" s="235">
        <v>36300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234"/>
      <c r="F273" s="234"/>
      <c r="G273" s="234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234"/>
      <c r="F274" s="234"/>
      <c r="G274" s="234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89"/>
      <c r="E275" s="234"/>
      <c r="F275" s="234"/>
      <c r="G275" s="234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89"/>
      <c r="E276" s="234"/>
      <c r="F276" s="234"/>
      <c r="G276" s="234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89"/>
      <c r="E277" s="234"/>
      <c r="F277" s="234"/>
      <c r="G277" s="234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50000</v>
      </c>
      <c r="C278" s="89">
        <v>0</v>
      </c>
      <c r="D278" s="235">
        <v>0</v>
      </c>
      <c r="E278" s="235">
        <v>50000</v>
      </c>
      <c r="F278" s="235">
        <v>52800</v>
      </c>
      <c r="G278" s="235">
        <v>55800</v>
      </c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89"/>
      <c r="E279" s="235"/>
      <c r="F279" s="235"/>
      <c r="G279" s="235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89"/>
      <c r="E280" s="235"/>
      <c r="F280" s="235"/>
      <c r="G280" s="235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150000</v>
      </c>
      <c r="C281" s="89">
        <v>150000</v>
      </c>
      <c r="D281" s="235">
        <v>147912.16</v>
      </c>
      <c r="E281" s="235">
        <v>170000</v>
      </c>
      <c r="F281" s="235">
        <v>177800</v>
      </c>
      <c r="G281" s="235">
        <v>186000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/>
      <c r="D282" s="89"/>
      <c r="E282" s="89"/>
      <c r="F282" s="89"/>
      <c r="G282" s="89"/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/>
      <c r="D283" s="89"/>
      <c r="E283" s="89"/>
      <c r="F283" s="89"/>
      <c r="G283" s="89"/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4630500</v>
      </c>
      <c r="C290" s="112">
        <f t="shared" si="1"/>
        <v>4580500</v>
      </c>
      <c r="D290" s="112">
        <f t="shared" si="1"/>
        <v>5924552.2899999991</v>
      </c>
      <c r="E290" s="112">
        <f t="shared" si="1"/>
        <v>14635000</v>
      </c>
      <c r="F290" s="112">
        <f t="shared" si="1"/>
        <v>15033700</v>
      </c>
      <c r="G290" s="112">
        <f t="shared" si="1"/>
        <v>15617400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4630500</v>
      </c>
      <c r="C292" s="112">
        <f t="shared" si="2"/>
        <v>4580500</v>
      </c>
      <c r="D292" s="112">
        <f t="shared" si="2"/>
        <v>5924552.2899999991</v>
      </c>
      <c r="E292" s="112">
        <f t="shared" si="2"/>
        <v>6309900</v>
      </c>
      <c r="F292" s="112">
        <f t="shared" si="2"/>
        <v>6681700</v>
      </c>
      <c r="G292" s="112">
        <f t="shared" si="2"/>
        <v>7055400</v>
      </c>
    </row>
    <row r="293" spans="1:7" ht="15" thickTop="1" x14ac:dyDescent="0.35"/>
    <row r="294" spans="1:7" x14ac:dyDescent="0.35">
      <c r="E294" s="130"/>
    </row>
    <row r="296" spans="1:7" x14ac:dyDescent="0.35">
      <c r="E296" s="130"/>
    </row>
  </sheetData>
  <autoFilter ref="G124:H288" xr:uid="{59D2C894-B557-4FDB-BB1D-BC85D3B9509E}">
    <filterColumn colId="1">
      <filters>
        <filter val="Depreciation and asset impairment"/>
        <filter val="Employee related cost"/>
      </filters>
    </filterColumn>
  </autoFilter>
  <sortState xmlns:xlrd2="http://schemas.microsoft.com/office/spreadsheetml/2017/richdata2" ref="A125:I288">
    <sortCondition ref="A125:A288"/>
  </sortState>
  <pageMargins left="0.7" right="0.7" top="0.75" bottom="0.75" header="0.3" footer="0.3"/>
  <pageSetup scale="1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filterMode="1">
    <tabColor theme="3"/>
    <pageSetUpPr fitToPage="1"/>
  </sheetPr>
  <dimension ref="A1:K300"/>
  <sheetViews>
    <sheetView topLeftCell="A68" zoomScale="69" zoomScaleNormal="69" workbookViewId="0">
      <selection activeCell="E125" sqref="E125:E288"/>
    </sheetView>
  </sheetViews>
  <sheetFormatPr defaultColWidth="9.1796875" defaultRowHeight="14.5" x14ac:dyDescent="0.35"/>
  <cols>
    <col min="1" max="1" width="61.36328125" style="113" customWidth="1"/>
    <col min="2" max="2" width="24.7265625" style="113" customWidth="1"/>
    <col min="3" max="3" width="20.26953125" style="111" customWidth="1"/>
    <col min="4" max="4" width="19.81640625" style="111" customWidth="1"/>
    <col min="5" max="5" width="21.1796875" style="113" customWidth="1"/>
    <col min="6" max="6" width="20.54296875" style="113" customWidth="1"/>
    <col min="7" max="7" width="20.26953125" style="113" customWidth="1"/>
    <col min="8" max="8" width="36.54296875" style="113" customWidth="1"/>
    <col min="9" max="9" width="38" style="113" customWidth="1"/>
    <col min="10" max="10" width="17.26953125" style="113" customWidth="1"/>
    <col min="11" max="11" width="15" style="113" customWidth="1"/>
    <col min="12" max="16384" width="9.1796875" style="113"/>
  </cols>
  <sheetData>
    <row r="1" spans="1:11" ht="15" thickBot="1" x14ac:dyDescent="0.4">
      <c r="F1" s="118">
        <v>14</v>
      </c>
      <c r="G1" s="118"/>
    </row>
    <row r="2" spans="1:11" ht="15" thickBot="1" x14ac:dyDescent="0.4">
      <c r="A2" s="120" t="s">
        <v>2812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11" x14ac:dyDescent="0.35">
      <c r="A3" s="122"/>
      <c r="B3" s="110"/>
      <c r="C3" s="110"/>
      <c r="D3" s="110"/>
      <c r="E3" s="110"/>
      <c r="F3" s="110"/>
      <c r="G3" s="110"/>
    </row>
    <row r="4" spans="1:11" x14ac:dyDescent="0.35">
      <c r="A4" s="126" t="s">
        <v>2696</v>
      </c>
      <c r="B4" s="114"/>
      <c r="C4" s="114"/>
      <c r="D4" s="114"/>
      <c r="E4" s="114"/>
      <c r="F4" s="138"/>
      <c r="G4" s="138"/>
      <c r="H4" s="30"/>
      <c r="I4" s="30"/>
    </row>
    <row r="5" spans="1:11" x14ac:dyDescent="0.35">
      <c r="A5" s="126"/>
      <c r="B5" s="114"/>
      <c r="C5" s="114"/>
      <c r="D5" s="114"/>
      <c r="E5" s="114"/>
      <c r="F5" s="138"/>
      <c r="G5" s="138"/>
      <c r="H5" s="30"/>
      <c r="I5" s="30"/>
    </row>
    <row r="6" spans="1:11" x14ac:dyDescent="0.35">
      <c r="A6" s="217" t="s">
        <v>3426</v>
      </c>
      <c r="B6" s="89">
        <f>-250000+94000</f>
        <v>-156000</v>
      </c>
      <c r="C6" s="89">
        <f>-156000-94000</f>
        <v>-250000</v>
      </c>
      <c r="D6" s="235">
        <v>0</v>
      </c>
      <c r="E6" s="235">
        <v>0</v>
      </c>
      <c r="F6" s="235">
        <v>0</v>
      </c>
      <c r="G6" s="235">
        <v>0</v>
      </c>
      <c r="H6" s="66" t="str">
        <f>VLOOKUP(A6,'Tot KPA'!A:H,8,0)</f>
        <v>Other revenue</v>
      </c>
      <c r="I6" s="66">
        <f>VLOOKUP(A6,'Tot KPA'!A:I,9,0)</f>
        <v>0</v>
      </c>
    </row>
    <row r="7" spans="1:11" hidden="1" x14ac:dyDescent="0.35">
      <c r="A7" s="66" t="s">
        <v>2833</v>
      </c>
      <c r="B7" s="89">
        <v>0</v>
      </c>
      <c r="C7" s="89">
        <v>0</v>
      </c>
      <c r="D7" s="89"/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11" hidden="1" x14ac:dyDescent="0.35">
      <c r="A8" s="66" t="s">
        <v>2979</v>
      </c>
      <c r="B8" s="89">
        <v>0</v>
      </c>
      <c r="C8" s="89">
        <v>0</v>
      </c>
      <c r="D8" s="89"/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11" hidden="1" x14ac:dyDescent="0.35">
      <c r="A9" s="66" t="s">
        <v>2834</v>
      </c>
      <c r="B9" s="89">
        <v>0</v>
      </c>
      <c r="C9" s="89">
        <v>0</v>
      </c>
      <c r="D9" s="89"/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11" hidden="1" x14ac:dyDescent="0.35">
      <c r="A10" s="66" t="s">
        <v>2894</v>
      </c>
      <c r="B10" s="89">
        <v>0</v>
      </c>
      <c r="C10" s="89">
        <v>0</v>
      </c>
      <c r="D10" s="89"/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11" hidden="1" x14ac:dyDescent="0.35">
      <c r="A11" s="66" t="s">
        <v>2893</v>
      </c>
      <c r="B11" s="89">
        <v>0</v>
      </c>
      <c r="C11" s="89">
        <v>0</v>
      </c>
      <c r="D11" s="89"/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11" hidden="1" x14ac:dyDescent="0.35">
      <c r="A12" s="66" t="s">
        <v>2977</v>
      </c>
      <c r="B12" s="89">
        <v>0</v>
      </c>
      <c r="C12" s="89">
        <v>0</v>
      </c>
      <c r="D12" s="89"/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11" x14ac:dyDescent="0.35">
      <c r="A13" s="66" t="s">
        <v>2981</v>
      </c>
      <c r="B13" s="89">
        <v>-2000</v>
      </c>
      <c r="C13" s="89">
        <v>-2000</v>
      </c>
      <c r="D13" s="235">
        <v>-1500</v>
      </c>
      <c r="E13" s="235">
        <v>-2000</v>
      </c>
      <c r="F13" s="235">
        <v>-2200</v>
      </c>
      <c r="G13" s="235">
        <v>-2400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11" x14ac:dyDescent="0.35">
      <c r="A14" s="66" t="s">
        <v>2895</v>
      </c>
      <c r="B14" s="89">
        <v>-18700</v>
      </c>
      <c r="C14" s="89">
        <v>-18700</v>
      </c>
      <c r="D14" s="235">
        <v>-16500</v>
      </c>
      <c r="E14" s="235">
        <v>-18700</v>
      </c>
      <c r="F14" s="235">
        <v>-19800</v>
      </c>
      <c r="G14" s="235">
        <v>-20900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  <c r="K14" s="113">
        <f>2098*1.15</f>
        <v>2412.6999999999998</v>
      </c>
    </row>
    <row r="15" spans="1:11" x14ac:dyDescent="0.35">
      <c r="A15" s="66" t="s">
        <v>3538</v>
      </c>
      <c r="B15" s="89">
        <f>-5722600+103300</f>
        <v>-5619300</v>
      </c>
      <c r="C15" s="89">
        <f>-5722600+103300-623000-50000</f>
        <v>-6292300</v>
      </c>
      <c r="D15" s="235">
        <v>-4861575.4800000004</v>
      </c>
      <c r="E15" s="235">
        <v>-5197100</v>
      </c>
      <c r="F15" s="235">
        <v>-5436200</v>
      </c>
      <c r="G15" s="235">
        <v>-5686300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11" x14ac:dyDescent="0.35">
      <c r="A16" s="66" t="s">
        <v>2980</v>
      </c>
      <c r="B16" s="89">
        <v>-17300</v>
      </c>
      <c r="C16" s="89">
        <v>-17300</v>
      </c>
      <c r="D16" s="235">
        <v>-14500</v>
      </c>
      <c r="E16" s="235">
        <v>-17300</v>
      </c>
      <c r="F16" s="235">
        <v>-18300</v>
      </c>
      <c r="G16" s="235">
        <v>-19300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10" x14ac:dyDescent="0.35">
      <c r="A17" s="66" t="s">
        <v>3537</v>
      </c>
      <c r="B17" s="89"/>
      <c r="C17" s="89"/>
      <c r="D17" s="235">
        <v>-271591.55</v>
      </c>
      <c r="E17" s="235">
        <v>-290400</v>
      </c>
      <c r="F17" s="235">
        <v>-303800</v>
      </c>
      <c r="G17" s="235">
        <v>-317800</v>
      </c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10" x14ac:dyDescent="0.35">
      <c r="A18" s="66" t="s">
        <v>3533</v>
      </c>
      <c r="B18" s="89">
        <f>-6454100+116600-94000</f>
        <v>-6431500</v>
      </c>
      <c r="C18" s="89">
        <f>-6454100+116600-94000</f>
        <v>-6431500</v>
      </c>
      <c r="D18" s="235">
        <v>-5118864.8600000003</v>
      </c>
      <c r="E18" s="235">
        <v>-5472100</v>
      </c>
      <c r="F18" s="235">
        <v>-5723900</v>
      </c>
      <c r="G18" s="235">
        <v>-5987200</v>
      </c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10" x14ac:dyDescent="0.35">
      <c r="A19" s="66" t="s">
        <v>3532</v>
      </c>
      <c r="B19" s="89"/>
      <c r="C19" s="89"/>
      <c r="D19" s="235">
        <v>-825787.05</v>
      </c>
      <c r="E19" s="235">
        <v>-882800</v>
      </c>
      <c r="F19" s="235">
        <v>-923500</v>
      </c>
      <c r="G19" s="235">
        <v>-966000</v>
      </c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10" x14ac:dyDescent="0.35">
      <c r="A20" s="66" t="s">
        <v>3534</v>
      </c>
      <c r="B20" s="89"/>
      <c r="C20" s="89"/>
      <c r="D20" s="235">
        <v>-536134.26</v>
      </c>
      <c r="E20" s="235">
        <v>-573200</v>
      </c>
      <c r="F20" s="235">
        <v>-599600</v>
      </c>
      <c r="G20" s="235">
        <v>-627200</v>
      </c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10" x14ac:dyDescent="0.35">
      <c r="A21" s="66" t="s">
        <v>3535</v>
      </c>
      <c r="B21" s="89"/>
      <c r="C21" s="89"/>
      <c r="D21" s="235">
        <v>-98485.19</v>
      </c>
      <c r="E21" s="235">
        <v>-105300</v>
      </c>
      <c r="F21" s="235">
        <v>-110200</v>
      </c>
      <c r="G21" s="235">
        <v>-115300</v>
      </c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10" x14ac:dyDescent="0.35">
      <c r="A22" s="66" t="s">
        <v>3536</v>
      </c>
      <c r="B22" s="89"/>
      <c r="C22" s="89"/>
      <c r="D22" s="235">
        <v>-6850.11</v>
      </c>
      <c r="E22" s="235">
        <v>-7400</v>
      </c>
      <c r="F22" s="235">
        <v>-7800</v>
      </c>
      <c r="G22" s="235">
        <v>-8200</v>
      </c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10" x14ac:dyDescent="0.35">
      <c r="A23" s="66" t="s">
        <v>2896</v>
      </c>
      <c r="B23" s="89">
        <v>-12000</v>
      </c>
      <c r="C23" s="89"/>
      <c r="D23" s="235">
        <v>-6000</v>
      </c>
      <c r="E23" s="235">
        <v>-12000</v>
      </c>
      <c r="F23" s="235">
        <v>-12000</v>
      </c>
      <c r="G23" s="235">
        <v>-12000</v>
      </c>
      <c r="H23" s="66" t="str">
        <f>VLOOKUP(A23,'Tot KPA'!A:H,8,0)</f>
        <v>Fines</v>
      </c>
      <c r="I23" s="66">
        <f>VLOOKUP(A23,'Tot KPA'!A:I,9,0)</f>
        <v>0</v>
      </c>
    </row>
    <row r="24" spans="1:10" x14ac:dyDescent="0.35">
      <c r="A24" s="66" t="s">
        <v>2832</v>
      </c>
      <c r="B24" s="89">
        <v>-5000000</v>
      </c>
      <c r="C24" s="89">
        <v>0</v>
      </c>
      <c r="D24" s="235">
        <v>0</v>
      </c>
      <c r="E24" s="235"/>
      <c r="F24" s="235"/>
      <c r="G24" s="235"/>
      <c r="H24" s="66" t="str">
        <f>VLOOKUP(A24,'Tot KPA'!A:H,8,0)</f>
        <v>Transfers recognised</v>
      </c>
      <c r="I24" s="66" t="str">
        <f>VLOOKUP(A24,'Tot KPA'!A:I,9,0)</f>
        <v>Capital</v>
      </c>
    </row>
    <row r="25" spans="1:10" x14ac:dyDescent="0.35">
      <c r="A25" s="66" t="s">
        <v>2825</v>
      </c>
      <c r="B25" s="89">
        <f>-2025200-500000</f>
        <v>-2525200</v>
      </c>
      <c r="C25" s="89">
        <f>-2025200-500000</f>
        <v>-2525200</v>
      </c>
      <c r="D25" s="235">
        <v>-2525200</v>
      </c>
      <c r="E25" s="235">
        <v>-4828400</v>
      </c>
      <c r="F25" s="235">
        <v>-5223800</v>
      </c>
      <c r="G25" s="235">
        <v>-5602200</v>
      </c>
      <c r="H25" s="66" t="str">
        <f>VLOOKUP(A25,'Tot KPA'!A:H,8,0)</f>
        <v>Transfers recognised</v>
      </c>
      <c r="I25" s="66" t="str">
        <f>VLOOKUP(A25,'Tot KPA'!A:I,9,0)</f>
        <v>Operational</v>
      </c>
      <c r="J25" s="227"/>
    </row>
    <row r="26" spans="1:10" hidden="1" x14ac:dyDescent="0.35">
      <c r="A26" s="66" t="s">
        <v>2826</v>
      </c>
      <c r="B26" s="89"/>
      <c r="C26" s="89"/>
      <c r="D26" s="89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10" hidden="1" x14ac:dyDescent="0.35">
      <c r="A27" s="66" t="s">
        <v>3001</v>
      </c>
      <c r="B27" s="89"/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10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10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10" hidden="1" x14ac:dyDescent="0.35">
      <c r="A30" s="66" t="s">
        <v>3002</v>
      </c>
      <c r="B30" s="89"/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10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10" x14ac:dyDescent="0.35">
      <c r="A32" s="66" t="s">
        <v>3539</v>
      </c>
      <c r="B32" s="89">
        <v>598400</v>
      </c>
      <c r="C32" s="89">
        <v>598400</v>
      </c>
      <c r="D32" s="235">
        <v>340554.47</v>
      </c>
      <c r="E32" s="235">
        <v>364100</v>
      </c>
      <c r="F32" s="235">
        <v>380900</v>
      </c>
      <c r="G32" s="235">
        <v>398500</v>
      </c>
      <c r="H32" s="66" t="str">
        <f>VLOOKUP(A32,'Tot KPA'!A:H,8,0)</f>
        <v>Service charges</v>
      </c>
      <c r="I32" s="66" t="str">
        <f>VLOOKUP(A32,'Tot KPA'!A:I,9,0)</f>
        <v>Electricity</v>
      </c>
    </row>
    <row r="33" spans="1:9" x14ac:dyDescent="0.35">
      <c r="A33" s="66" t="s">
        <v>3540</v>
      </c>
      <c r="B33" s="89"/>
      <c r="C33" s="89"/>
      <c r="D33" s="235">
        <v>10960.79</v>
      </c>
      <c r="E33" s="235">
        <v>11800</v>
      </c>
      <c r="F33" s="235">
        <v>12400</v>
      </c>
      <c r="G33" s="235">
        <v>13000</v>
      </c>
      <c r="H33" s="66" t="str">
        <f>VLOOKUP(A33,'Tot KPA'!A:H,8,0)</f>
        <v>Service charges</v>
      </c>
      <c r="I33" s="66" t="str">
        <f>VLOOKUP(A33,'Tot KPA'!A:I,9,0)</f>
        <v>Electricity</v>
      </c>
    </row>
    <row r="34" spans="1:9" x14ac:dyDescent="0.35">
      <c r="A34" s="66" t="s">
        <v>3541</v>
      </c>
      <c r="B34" s="89"/>
      <c r="C34" s="89"/>
      <c r="D34" s="235">
        <v>15604.17</v>
      </c>
      <c r="E34" s="235">
        <v>16700</v>
      </c>
      <c r="F34" s="235">
        <v>17500</v>
      </c>
      <c r="G34" s="235">
        <v>18400</v>
      </c>
      <c r="H34" s="66" t="str">
        <f>VLOOKUP(A34,'Tot KPA'!A:H,8,0)</f>
        <v>Service charges</v>
      </c>
      <c r="I34" s="66" t="str">
        <f>VLOOKUP(A34,'Tot KPA'!A:I,9,0)</f>
        <v>Electricity</v>
      </c>
    </row>
    <row r="35" spans="1:9" x14ac:dyDescent="0.35">
      <c r="A35" s="66" t="s">
        <v>3542</v>
      </c>
      <c r="B35" s="89"/>
      <c r="C35" s="89"/>
      <c r="D35" s="235">
        <v>11283.3</v>
      </c>
      <c r="E35" s="235">
        <v>12100</v>
      </c>
      <c r="F35" s="235">
        <v>12700</v>
      </c>
      <c r="G35" s="235">
        <v>13300</v>
      </c>
      <c r="H35" s="66" t="str">
        <f>VLOOKUP(A35,'Tot KPA'!A:H,8,0)</f>
        <v>Service charges</v>
      </c>
      <c r="I35" s="66" t="str">
        <f>VLOOKUP(A35,'Tot KPA'!A:I,9,0)</f>
        <v>Electricity</v>
      </c>
    </row>
    <row r="36" spans="1:9" x14ac:dyDescent="0.35">
      <c r="A36" s="66" t="s">
        <v>3543</v>
      </c>
      <c r="B36" s="89"/>
      <c r="C36" s="89"/>
      <c r="D36" s="235">
        <v>23412.69</v>
      </c>
      <c r="E36" s="235">
        <v>25100</v>
      </c>
      <c r="F36" s="235">
        <v>26300</v>
      </c>
      <c r="G36" s="235">
        <v>27600</v>
      </c>
      <c r="H36" s="66" t="str">
        <f>VLOOKUP(A36,'Tot KPA'!A:H,8,0)</f>
        <v>Service charges</v>
      </c>
      <c r="I36" s="66" t="str">
        <f>VLOOKUP(A36,'Tot KPA'!A:I,9,0)</f>
        <v>Electricity</v>
      </c>
    </row>
    <row r="37" spans="1:9" x14ac:dyDescent="0.35">
      <c r="A37" s="66" t="s">
        <v>3544</v>
      </c>
      <c r="B37" s="89"/>
      <c r="C37" s="89"/>
      <c r="D37" s="235"/>
      <c r="E37" s="235"/>
      <c r="F37" s="235"/>
      <c r="G37" s="235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x14ac:dyDescent="0.35">
      <c r="A38" s="66" t="s">
        <v>3545</v>
      </c>
      <c r="B38" s="89"/>
      <c r="C38" s="89"/>
      <c r="D38" s="235">
        <v>11610.38</v>
      </c>
      <c r="E38" s="235">
        <v>12500</v>
      </c>
      <c r="F38" s="235">
        <v>13100</v>
      </c>
      <c r="G38" s="235">
        <v>13800</v>
      </c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66"/>
      <c r="E39" s="66"/>
      <c r="F39" s="66"/>
      <c r="G39" s="66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x14ac:dyDescent="0.35">
      <c r="A49" s="66" t="s">
        <v>2828</v>
      </c>
      <c r="B49" s="89">
        <v>-2000000</v>
      </c>
      <c r="C49" s="89">
        <v>-2000000</v>
      </c>
      <c r="D49" s="235">
        <v>-2000000</v>
      </c>
      <c r="E49" s="235">
        <v>0</v>
      </c>
      <c r="F49" s="235">
        <v>-2000000</v>
      </c>
      <c r="G49" s="235">
        <v>-2000000</v>
      </c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x14ac:dyDescent="0.35">
      <c r="A50" s="66" t="s">
        <v>2965</v>
      </c>
      <c r="B50" s="89">
        <v>-399700</v>
      </c>
      <c r="C50" s="89">
        <v>-399700</v>
      </c>
      <c r="D50" s="235">
        <v>-141948.09</v>
      </c>
      <c r="E50" s="235">
        <v>-148400</v>
      </c>
      <c r="F50" s="235">
        <v>-155300</v>
      </c>
      <c r="G50" s="235">
        <v>-162500</v>
      </c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x14ac:dyDescent="0.35">
      <c r="A68" s="66" t="s">
        <v>3480</v>
      </c>
      <c r="B68" s="89">
        <f>750600+95400+34400+22200+145300</f>
        <v>1047900</v>
      </c>
      <c r="C68" s="89">
        <f>750600+95400+34400+22200+145300</f>
        <v>1047900</v>
      </c>
      <c r="D68" s="235"/>
      <c r="E68" s="235"/>
      <c r="F68" s="235"/>
      <c r="G68" s="235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>
        <v>0</v>
      </c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>
        <v>0</v>
      </c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>
        <v>0</v>
      </c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>
        <v>0</v>
      </c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>
        <v>0</v>
      </c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>
        <v>0</v>
      </c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>
        <v>0</v>
      </c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>
        <v>0</v>
      </c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>
        <v>0</v>
      </c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>
        <v>0</v>
      </c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9" hidden="1" x14ac:dyDescent="0.35">
      <c r="A84" s="66" t="s">
        <v>3069</v>
      </c>
      <c r="B84" s="89">
        <v>0</v>
      </c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>
        <v>0</v>
      </c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>
        <v>0</v>
      </c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>
        <v>0</v>
      </c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</row>
    <row r="89" spans="1:9" hidden="1" x14ac:dyDescent="0.35">
      <c r="A89" s="66" t="s">
        <v>2830</v>
      </c>
      <c r="B89" s="89">
        <v>0</v>
      </c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>
        <v>0</v>
      </c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>
        <v>0</v>
      </c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>
        <v>0</v>
      </c>
      <c r="C92" s="89">
        <v>0</v>
      </c>
      <c r="D92" s="89"/>
      <c r="E92" s="89">
        <v>0</v>
      </c>
      <c r="F92" s="89">
        <v>0</v>
      </c>
      <c r="G92" s="89">
        <v>0</v>
      </c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>
        <v>0</v>
      </c>
      <c r="C93" s="89">
        <v>0</v>
      </c>
      <c r="D93" s="89"/>
      <c r="E93" s="89">
        <v>0</v>
      </c>
      <c r="F93" s="89">
        <v>0</v>
      </c>
      <c r="G93" s="89">
        <v>0</v>
      </c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>
        <v>0</v>
      </c>
      <c r="C94" s="89">
        <v>0</v>
      </c>
      <c r="D94" s="89"/>
      <c r="E94" s="89">
        <v>0</v>
      </c>
      <c r="F94" s="89">
        <v>0</v>
      </c>
      <c r="G94" s="89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>
        <v>0</v>
      </c>
      <c r="C95" s="89">
        <v>0</v>
      </c>
      <c r="D95" s="89"/>
      <c r="E95" s="89">
        <v>0</v>
      </c>
      <c r="F95" s="89">
        <v>0</v>
      </c>
      <c r="G95" s="89">
        <v>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>
        <v>0</v>
      </c>
      <c r="C96" s="89">
        <v>0</v>
      </c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9" ht="15" thickBot="1" x14ac:dyDescent="0.4">
      <c r="A121" s="117" t="s">
        <v>2545</v>
      </c>
      <c r="B121" s="112">
        <f t="shared" ref="B121:G121" si="0">SUM(B2:B119)</f>
        <v>-20535400</v>
      </c>
      <c r="C121" s="112">
        <f t="shared" si="0"/>
        <v>-16290400</v>
      </c>
      <c r="D121" s="112">
        <f t="shared" si="0"/>
        <v>-16011510.789999999</v>
      </c>
      <c r="E121" s="112">
        <f t="shared" si="0"/>
        <v>-17112800</v>
      </c>
      <c r="F121" s="112">
        <f t="shared" si="0"/>
        <v>-20073500</v>
      </c>
      <c r="G121" s="112">
        <f t="shared" si="0"/>
        <v>-21042700</v>
      </c>
    </row>
    <row r="122" spans="1:9" ht="15" thickTop="1" x14ac:dyDescent="0.35">
      <c r="E122" s="111"/>
      <c r="F122" s="111"/>
      <c r="G122" s="111"/>
    </row>
    <row r="123" spans="1:9" x14ac:dyDescent="0.35">
      <c r="A123" s="117" t="s">
        <v>2697</v>
      </c>
    </row>
    <row r="124" spans="1:9" x14ac:dyDescent="0.35">
      <c r="A124" s="117"/>
    </row>
    <row r="125" spans="1:9" hidden="1" x14ac:dyDescent="0.35">
      <c r="A125" s="66" t="s">
        <v>3438</v>
      </c>
      <c r="B125" s="89">
        <v>0</v>
      </c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/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/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/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/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/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/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/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8758000</v>
      </c>
      <c r="C133" s="89">
        <f>8758000-400000-191000</f>
        <v>8167000</v>
      </c>
      <c r="D133" s="235">
        <f>9792953.13-398512.22</f>
        <v>9394440.9100000001</v>
      </c>
      <c r="E133" s="235">
        <v>10380000</v>
      </c>
      <c r="F133" s="235">
        <v>10857500</v>
      </c>
      <c r="G133" s="235">
        <v>11357000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/>
      <c r="C134" s="89"/>
      <c r="D134" s="89"/>
      <c r="E134" s="89"/>
      <c r="F134" s="89"/>
      <c r="G134" s="89"/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89"/>
      <c r="F135" s="89"/>
      <c r="G135" s="89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89"/>
      <c r="F136" s="89"/>
      <c r="G136" s="89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239">
        <v>240000</v>
      </c>
      <c r="C137" s="89">
        <v>240000</v>
      </c>
      <c r="D137" s="235">
        <v>214318.62</v>
      </c>
      <c r="E137" s="235">
        <v>240000</v>
      </c>
      <c r="F137" s="235">
        <v>252900</v>
      </c>
      <c r="G137" s="235">
        <v>266600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/>
      <c r="C138" s="89"/>
      <c r="D138" s="89"/>
      <c r="E138" s="234"/>
      <c r="F138" s="234"/>
      <c r="G138" s="234"/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234"/>
      <c r="F139" s="234"/>
      <c r="G139" s="234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234"/>
      <c r="F140" s="234"/>
      <c r="G140" s="234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234"/>
      <c r="F141" s="234"/>
      <c r="G141" s="234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234"/>
      <c r="F142" s="234"/>
      <c r="G142" s="234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234"/>
      <c r="F143" s="234"/>
      <c r="G143" s="234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234"/>
      <c r="F144" s="234"/>
      <c r="G144" s="234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234"/>
      <c r="F145" s="234"/>
      <c r="G145" s="234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234"/>
      <c r="F146" s="234"/>
      <c r="G146" s="234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234"/>
      <c r="F147" s="234"/>
      <c r="G147" s="234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234"/>
      <c r="F148" s="234"/>
      <c r="G148" s="234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234"/>
      <c r="F149" s="234"/>
      <c r="G149" s="234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234"/>
      <c r="F150" s="234"/>
      <c r="G150" s="234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223">
        <v>50000</v>
      </c>
      <c r="C151" s="223">
        <v>45000</v>
      </c>
      <c r="D151" s="240">
        <v>79816.28</v>
      </c>
      <c r="E151" s="240">
        <v>85000</v>
      </c>
      <c r="F151" s="240">
        <v>88900</v>
      </c>
      <c r="G151" s="240">
        <v>92900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234"/>
      <c r="F152" s="234"/>
      <c r="G152" s="234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234"/>
      <c r="F153" s="234"/>
      <c r="G153" s="234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234"/>
      <c r="F154" s="234"/>
      <c r="G154" s="234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>
        <v>25000</v>
      </c>
      <c r="C155" s="89">
        <v>25000</v>
      </c>
      <c r="D155" s="235">
        <v>0</v>
      </c>
      <c r="E155" s="235">
        <v>15000</v>
      </c>
      <c r="F155" s="235"/>
      <c r="G155" s="235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234"/>
      <c r="F156" s="234"/>
      <c r="G156" s="234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234"/>
      <c r="F157" s="234"/>
      <c r="G157" s="234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234"/>
      <c r="F158" s="234"/>
      <c r="G158" s="234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234"/>
      <c r="F159" s="234"/>
      <c r="G159" s="234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234"/>
      <c r="F160" s="234"/>
      <c r="G160" s="234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234"/>
      <c r="F161" s="234"/>
      <c r="G161" s="234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>
        <v>345500</v>
      </c>
      <c r="C162" s="89">
        <v>345500</v>
      </c>
      <c r="D162" s="235">
        <v>349851.16</v>
      </c>
      <c r="E162" s="235">
        <v>400000</v>
      </c>
      <c r="F162" s="235">
        <f>+E162*1.046</f>
        <v>418400</v>
      </c>
      <c r="G162" s="235">
        <v>437600</v>
      </c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234"/>
      <c r="F163" s="234"/>
      <c r="G163" s="234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234"/>
      <c r="F164" s="234"/>
      <c r="G164" s="234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234"/>
      <c r="F165" s="234"/>
      <c r="G165" s="234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234"/>
      <c r="F166" s="234"/>
      <c r="G166" s="234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234"/>
      <c r="F167" s="234"/>
      <c r="G167" s="234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234"/>
      <c r="F168" s="234"/>
      <c r="G168" s="234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234"/>
      <c r="F169" s="234"/>
      <c r="G169" s="234"/>
      <c r="H169" s="66" t="str">
        <f>VLOOKUP(A169,'Tot KPA'!A:H,8,0)</f>
        <v>Other expenditure</v>
      </c>
      <c r="I169" s="66">
        <f>VLOOKUP(A169,'Tot KPA'!A:I,9,0)</f>
        <v>0</v>
      </c>
    </row>
    <row r="170" spans="1:9" x14ac:dyDescent="0.35">
      <c r="A170" s="66" t="s">
        <v>2849</v>
      </c>
      <c r="B170" s="89">
        <v>100000</v>
      </c>
      <c r="C170" s="89">
        <v>100000</v>
      </c>
      <c r="D170" s="235">
        <v>1250000</v>
      </c>
      <c r="E170" s="235">
        <v>1307000</v>
      </c>
      <c r="F170" s="235">
        <v>1307000</v>
      </c>
      <c r="G170" s="235">
        <v>1307000</v>
      </c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89"/>
      <c r="F173" s="89"/>
      <c r="G173" s="89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89"/>
      <c r="F178" s="89"/>
      <c r="G178" s="89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>
        <v>413000</v>
      </c>
      <c r="C181" s="89">
        <v>413000</v>
      </c>
      <c r="D181" s="235">
        <v>398512.22</v>
      </c>
      <c r="E181" s="235">
        <v>420000</v>
      </c>
      <c r="F181" s="235">
        <v>440000</v>
      </c>
      <c r="G181" s="235">
        <v>460000</v>
      </c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>
        <f>589000-144800</f>
        <v>444200</v>
      </c>
      <c r="C182" s="89">
        <f>589000-144800</f>
        <v>444200</v>
      </c>
      <c r="D182" s="235">
        <v>718952.03</v>
      </c>
      <c r="E182" s="235">
        <f>465000+500000</f>
        <v>965000</v>
      </c>
      <c r="F182" s="235">
        <v>1009400</v>
      </c>
      <c r="G182" s="235">
        <v>1055900</v>
      </c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200</v>
      </c>
      <c r="C183" s="89">
        <v>200</v>
      </c>
      <c r="D183" s="235">
        <v>291.16000000000003</v>
      </c>
      <c r="E183" s="235">
        <v>400</v>
      </c>
      <c r="F183" s="235">
        <v>500</v>
      </c>
      <c r="G183" s="235">
        <v>500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62800</v>
      </c>
      <c r="C184" s="89">
        <v>62800</v>
      </c>
      <c r="D184" s="235">
        <v>61859.61</v>
      </c>
      <c r="E184" s="235">
        <v>76900</v>
      </c>
      <c r="F184" s="235">
        <v>81900</v>
      </c>
      <c r="G184" s="235">
        <v>87300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/>
      <c r="C185" s="89"/>
      <c r="D185" s="89"/>
      <c r="E185" s="234"/>
      <c r="F185" s="234"/>
      <c r="G185" s="234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/>
      <c r="C186" s="89"/>
      <c r="D186" s="89"/>
      <c r="E186" s="234"/>
      <c r="F186" s="234"/>
      <c r="G186" s="234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x14ac:dyDescent="0.35">
      <c r="A190" s="66" t="s">
        <v>2904</v>
      </c>
      <c r="B190" s="89">
        <v>70000</v>
      </c>
      <c r="C190" s="89">
        <v>70000</v>
      </c>
      <c r="D190" s="235">
        <v>71548.05</v>
      </c>
      <c r="E190" s="235">
        <v>70000</v>
      </c>
      <c r="F190" s="235">
        <v>73900</v>
      </c>
      <c r="G190" s="235">
        <v>78000</v>
      </c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0</v>
      </c>
      <c r="C191" s="89">
        <v>0</v>
      </c>
      <c r="D191" s="235">
        <v>0</v>
      </c>
      <c r="E191" s="235">
        <v>23000</v>
      </c>
      <c r="F191" s="235">
        <v>24500</v>
      </c>
      <c r="G191" s="235">
        <v>26100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x14ac:dyDescent="0.35">
      <c r="A192" s="66" t="s">
        <v>3039</v>
      </c>
      <c r="B192" s="89"/>
      <c r="C192" s="89"/>
      <c r="D192" s="89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752800</v>
      </c>
      <c r="C193" s="89">
        <v>752800</v>
      </c>
      <c r="D193" s="235">
        <v>749555.32</v>
      </c>
      <c r="E193" s="235">
        <v>919500</v>
      </c>
      <c r="F193" s="235">
        <v>979200</v>
      </c>
      <c r="G193" s="235">
        <v>1042900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3000</v>
      </c>
      <c r="C198" s="89">
        <v>3000</v>
      </c>
      <c r="D198" s="235">
        <v>2915.58</v>
      </c>
      <c r="E198" s="235">
        <v>4400</v>
      </c>
      <c r="F198" s="235">
        <v>4700</v>
      </c>
      <c r="G198" s="235">
        <v>5100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>
        <v>5000000</v>
      </c>
      <c r="C199" s="89"/>
      <c r="D199" s="235"/>
      <c r="E199" s="235"/>
      <c r="F199" s="235"/>
      <c r="G199" s="235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89"/>
      <c r="F201" s="89"/>
      <c r="G201" s="89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>
        <v>213000</v>
      </c>
      <c r="C209" s="89">
        <v>213000</v>
      </c>
      <c r="D209" s="235">
        <v>211048.08</v>
      </c>
      <c r="E209" s="235">
        <v>213000</v>
      </c>
      <c r="F209" s="235">
        <v>223000</v>
      </c>
      <c r="G209" s="235">
        <v>235000</v>
      </c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>
        <v>90000</v>
      </c>
      <c r="C210" s="89">
        <v>90000</v>
      </c>
      <c r="D210" s="235">
        <v>88514.28</v>
      </c>
      <c r="E210" s="235">
        <v>90000</v>
      </c>
      <c r="F210" s="235">
        <v>80000</v>
      </c>
      <c r="G210" s="235">
        <v>67000</v>
      </c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234"/>
      <c r="F211" s="234"/>
      <c r="G211" s="234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234"/>
      <c r="F212" s="234"/>
      <c r="G212" s="234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234"/>
      <c r="F213" s="234"/>
      <c r="G213" s="234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v>13000</v>
      </c>
      <c r="C214" s="89">
        <v>13000</v>
      </c>
      <c r="D214" s="235">
        <v>17455.21</v>
      </c>
      <c r="E214" s="235">
        <v>19000</v>
      </c>
      <c r="F214" s="235">
        <v>19900</v>
      </c>
      <c r="G214" s="235">
        <v>20900</v>
      </c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>
        <v>2000000</v>
      </c>
      <c r="C215" s="89">
        <v>2000000</v>
      </c>
      <c r="D215" s="235">
        <v>2000000</v>
      </c>
      <c r="E215" s="235">
        <v>0</v>
      </c>
      <c r="F215" s="235">
        <v>2000000</v>
      </c>
      <c r="G215" s="235">
        <v>2000000</v>
      </c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89"/>
      <c r="F216" s="89"/>
      <c r="G216" s="89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89"/>
      <c r="F225" s="89"/>
      <c r="G225" s="89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>
        <v>150000</v>
      </c>
      <c r="C226" s="89">
        <f>150000-100000</f>
        <v>50000</v>
      </c>
      <c r="D226" s="235">
        <v>178542.2</v>
      </c>
      <c r="E226" s="235">
        <v>150000</v>
      </c>
      <c r="F226" s="235">
        <v>158000</v>
      </c>
      <c r="G226" s="235">
        <v>166500</v>
      </c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>
        <v>15000</v>
      </c>
      <c r="C227" s="89">
        <v>15000</v>
      </c>
      <c r="D227" s="235">
        <v>8701.1200000000008</v>
      </c>
      <c r="E227" s="235">
        <v>15000</v>
      </c>
      <c r="F227" s="235">
        <v>15700</v>
      </c>
      <c r="G227" s="235">
        <v>16500</v>
      </c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5"/>
      <c r="F228" s="235"/>
      <c r="G228" s="235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>
        <v>45000</v>
      </c>
      <c r="C229" s="89">
        <v>45000</v>
      </c>
      <c r="D229" s="235">
        <v>38159.83</v>
      </c>
      <c r="E229" s="235">
        <v>45000</v>
      </c>
      <c r="F229" s="235">
        <v>47500</v>
      </c>
      <c r="G229" s="235">
        <v>50100</v>
      </c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>
        <v>45000</v>
      </c>
      <c r="C230" s="89">
        <v>45000</v>
      </c>
      <c r="D230" s="235">
        <v>55189</v>
      </c>
      <c r="E230" s="235">
        <v>45000</v>
      </c>
      <c r="F230" s="235">
        <v>45000</v>
      </c>
      <c r="G230" s="235">
        <v>45000</v>
      </c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235"/>
      <c r="F231" s="235"/>
      <c r="G231" s="235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235"/>
      <c r="F232" s="235"/>
      <c r="G232" s="235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235"/>
      <c r="F233" s="235"/>
      <c r="G233" s="235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235"/>
      <c r="F234" s="235"/>
      <c r="G234" s="235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235"/>
      <c r="F235" s="235"/>
      <c r="G235" s="235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>
        <v>25000</v>
      </c>
      <c r="C236" s="89">
        <v>25000</v>
      </c>
      <c r="D236" s="235">
        <v>27550</v>
      </c>
      <c r="E236" s="235">
        <v>25000</v>
      </c>
      <c r="F236" s="235">
        <v>26400</v>
      </c>
      <c r="G236" s="235">
        <v>27800</v>
      </c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234"/>
      <c r="F237" s="234"/>
      <c r="G237" s="234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234"/>
      <c r="F238" s="234"/>
      <c r="G238" s="234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234"/>
      <c r="F239" s="234"/>
      <c r="G239" s="234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234"/>
      <c r="F240" s="234"/>
      <c r="G240" s="234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234"/>
      <c r="F241" s="234"/>
      <c r="G241" s="234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234"/>
      <c r="F242" s="234"/>
      <c r="G242" s="234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234"/>
      <c r="F243" s="234"/>
      <c r="G243" s="234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234"/>
      <c r="F244" s="234"/>
      <c r="G244" s="234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234"/>
      <c r="F245" s="234"/>
      <c r="G245" s="234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234"/>
      <c r="F246" s="234"/>
      <c r="G246" s="234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234"/>
      <c r="F247" s="234"/>
      <c r="G247" s="234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234"/>
      <c r="F248" s="234"/>
      <c r="G248" s="234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234"/>
      <c r="F249" s="234"/>
      <c r="G249" s="234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234"/>
      <c r="F250" s="234"/>
      <c r="G250" s="234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234"/>
      <c r="F251" s="234"/>
      <c r="G251" s="234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234"/>
      <c r="F252" s="234"/>
      <c r="G252" s="234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234"/>
      <c r="F253" s="234"/>
      <c r="G253" s="234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234"/>
      <c r="F254" s="234"/>
      <c r="G254" s="234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234"/>
      <c r="F255" s="234"/>
      <c r="G255" s="234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234"/>
      <c r="F256" s="234"/>
      <c r="G256" s="234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234"/>
      <c r="F257" s="234"/>
      <c r="G257" s="234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234"/>
      <c r="F258" s="234"/>
      <c r="G258" s="234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234"/>
      <c r="F259" s="234"/>
      <c r="G259" s="234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234"/>
      <c r="F260" s="234"/>
      <c r="G260" s="234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234"/>
      <c r="F261" s="234"/>
      <c r="G261" s="234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234"/>
      <c r="F262" s="234"/>
      <c r="G262" s="234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234"/>
      <c r="F263" s="234"/>
      <c r="G263" s="234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234"/>
      <c r="F264" s="234"/>
      <c r="G264" s="234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234"/>
      <c r="F265" s="234"/>
      <c r="G265" s="234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234"/>
      <c r="F266" s="234"/>
      <c r="G266" s="234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234"/>
      <c r="F267" s="234"/>
      <c r="G267" s="234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234"/>
      <c r="F268" s="234"/>
      <c r="G268" s="234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234"/>
      <c r="F269" s="234"/>
      <c r="G269" s="234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234"/>
      <c r="F270" s="234"/>
      <c r="G270" s="234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234"/>
      <c r="F271" s="234"/>
      <c r="G271" s="234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v>7600</v>
      </c>
      <c r="C272" s="89">
        <v>7600</v>
      </c>
      <c r="D272" s="235">
        <v>7512.12</v>
      </c>
      <c r="E272" s="235">
        <v>9400</v>
      </c>
      <c r="F272" s="235">
        <v>10100</v>
      </c>
      <c r="G272" s="235">
        <v>10800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>
        <v>0</v>
      </c>
      <c r="C273" s="89">
        <v>0</v>
      </c>
      <c r="D273" s="89"/>
      <c r="E273" s="234">
        <v>0</v>
      </c>
      <c r="F273" s="234">
        <v>0</v>
      </c>
      <c r="G273" s="234">
        <v>0</v>
      </c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7000</v>
      </c>
      <c r="C274" s="89">
        <v>7000</v>
      </c>
      <c r="D274" s="235">
        <v>6612.24</v>
      </c>
      <c r="E274" s="235">
        <v>7000</v>
      </c>
      <c r="F274" s="235">
        <v>7400</v>
      </c>
      <c r="G274" s="235">
        <v>7800</v>
      </c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89"/>
      <c r="E275" s="89"/>
      <c r="F275" s="89"/>
      <c r="G275" s="89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0</v>
      </c>
      <c r="C277" s="89">
        <v>0</v>
      </c>
      <c r="D277" s="89"/>
      <c r="E277" s="89">
        <v>0</v>
      </c>
      <c r="F277" s="89">
        <v>0</v>
      </c>
      <c r="G277" s="89">
        <v>0</v>
      </c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>
        <v>0</v>
      </c>
      <c r="D278" s="89"/>
      <c r="E278" s="89">
        <v>0</v>
      </c>
      <c r="F278" s="89">
        <v>0</v>
      </c>
      <c r="G278" s="89">
        <v>0</v>
      </c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>
        <v>0</v>
      </c>
      <c r="D279" s="89"/>
      <c r="E279" s="89">
        <v>0</v>
      </c>
      <c r="F279" s="89">
        <v>0</v>
      </c>
      <c r="G279" s="89">
        <v>0</v>
      </c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89"/>
      <c r="E280" s="89"/>
      <c r="F280" s="89"/>
      <c r="G280" s="89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>
        <v>0</v>
      </c>
      <c r="D281" s="89"/>
      <c r="E281" s="89">
        <v>0</v>
      </c>
      <c r="F281" s="89">
        <v>0</v>
      </c>
      <c r="G281" s="89">
        <v>0</v>
      </c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SUM(B126:B288)</f>
        <v>18875100</v>
      </c>
      <c r="C290" s="112">
        <f t="shared" si="1"/>
        <v>13179100</v>
      </c>
      <c r="D290" s="112">
        <f t="shared" si="1"/>
        <v>15931345.019999998</v>
      </c>
      <c r="E290" s="112">
        <f t="shared" si="1"/>
        <v>15524600</v>
      </c>
      <c r="F290" s="112">
        <f t="shared" si="1"/>
        <v>18171800</v>
      </c>
      <c r="G290" s="112">
        <f t="shared" si="1"/>
        <v>18864300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-1660300</v>
      </c>
      <c r="C292" s="112">
        <f t="shared" si="2"/>
        <v>-3111300</v>
      </c>
      <c r="D292" s="112">
        <f t="shared" si="2"/>
        <v>-80165.770000001416</v>
      </c>
      <c r="E292" s="112">
        <f t="shared" si="2"/>
        <v>-1588200</v>
      </c>
      <c r="F292" s="112">
        <f t="shared" si="2"/>
        <v>-1901700</v>
      </c>
      <c r="G292" s="112">
        <f t="shared" si="2"/>
        <v>-2178400</v>
      </c>
    </row>
    <row r="293" spans="1:7" ht="15" thickTop="1" x14ac:dyDescent="0.35"/>
    <row r="294" spans="1:7" x14ac:dyDescent="0.35">
      <c r="E294" s="111"/>
      <c r="F294" s="111"/>
      <c r="G294" s="111"/>
    </row>
    <row r="295" spans="1:7" x14ac:dyDescent="0.35">
      <c r="E295" s="111"/>
      <c r="F295" s="111"/>
      <c r="G295" s="111"/>
    </row>
    <row r="298" spans="1:7" x14ac:dyDescent="0.35">
      <c r="E298" s="111"/>
      <c r="F298" s="111"/>
      <c r="G298" s="111"/>
    </row>
    <row r="300" spans="1:7" x14ac:dyDescent="0.35">
      <c r="E300" s="130"/>
    </row>
  </sheetData>
  <autoFilter ref="G124:I288" xr:uid="{58F44B5C-EE63-4F62-A68D-AC3BBB54E42B}">
    <filterColumn colId="1">
      <filters>
        <filter val="Depreciation and asset impairment"/>
        <filter val="Employee related cost"/>
      </filters>
    </filterColumn>
  </autoFilter>
  <sortState xmlns:xlrd2="http://schemas.microsoft.com/office/spreadsheetml/2017/richdata2" ref="A126:I288">
    <sortCondition ref="A126:A288"/>
  </sortState>
  <pageMargins left="0.7" right="0.7" top="0.75" bottom="0.75" header="0.3" footer="0.3"/>
  <pageSetup scale="1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filterMode="1">
    <tabColor theme="3"/>
    <pageSetUpPr fitToPage="1"/>
  </sheetPr>
  <dimension ref="A1:J305"/>
  <sheetViews>
    <sheetView topLeftCell="A122" zoomScale="69" zoomScaleNormal="69" workbookViewId="0">
      <selection activeCell="E124" sqref="E124:E288"/>
    </sheetView>
  </sheetViews>
  <sheetFormatPr defaultColWidth="9.1796875" defaultRowHeight="14.5" x14ac:dyDescent="0.35"/>
  <cols>
    <col min="1" max="1" width="61.36328125" style="113" customWidth="1"/>
    <col min="2" max="2" width="24.7265625" style="113" customWidth="1"/>
    <col min="3" max="3" width="20.54296875" style="111" customWidth="1"/>
    <col min="4" max="4" width="21.26953125" style="111" customWidth="1"/>
    <col min="5" max="6" width="24.7265625" style="113" bestFit="1" customWidth="1"/>
    <col min="7" max="7" width="25.1796875" style="113" bestFit="1" customWidth="1"/>
    <col min="8" max="8" width="36.54296875" style="113" customWidth="1"/>
    <col min="9" max="9" width="39" style="113" customWidth="1"/>
    <col min="10" max="10" width="15.7265625" style="113" customWidth="1"/>
    <col min="11" max="16384" width="9.1796875" style="113"/>
  </cols>
  <sheetData>
    <row r="1" spans="1:9" ht="15" thickBot="1" x14ac:dyDescent="0.4">
      <c r="F1" s="118">
        <v>15</v>
      </c>
      <c r="G1" s="118"/>
    </row>
    <row r="2" spans="1:9" ht="34.5" customHeight="1" thickBot="1" x14ac:dyDescent="0.4">
      <c r="A2" s="120" t="s">
        <v>2813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17" t="s">
        <v>2698</v>
      </c>
      <c r="B4" s="111"/>
      <c r="E4" s="111"/>
      <c r="F4" s="116"/>
      <c r="G4" s="116"/>
    </row>
    <row r="5" spans="1:9" x14ac:dyDescent="0.35">
      <c r="A5" s="117"/>
      <c r="B5" s="111"/>
      <c r="E5" s="111"/>
      <c r="F5" s="242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x14ac:dyDescent="0.35">
      <c r="A25" s="66" t="s">
        <v>2825</v>
      </c>
      <c r="B25" s="89">
        <f>-4050200-500000</f>
        <v>-4550200</v>
      </c>
      <c r="C25" s="89">
        <f>-4050200-500000</f>
        <v>-4550200</v>
      </c>
      <c r="D25" s="235">
        <v>-4550200</v>
      </c>
      <c r="E25" s="235">
        <v>-4828400</v>
      </c>
      <c r="F25" s="235">
        <v>-5223800</v>
      </c>
      <c r="G25" s="235">
        <v>-5602200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89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x14ac:dyDescent="0.35">
      <c r="A44" s="66" t="s">
        <v>3526</v>
      </c>
      <c r="B44" s="89">
        <v>1056700</v>
      </c>
      <c r="C44" s="89">
        <v>1056700</v>
      </c>
      <c r="D44" s="235">
        <v>1651349.48</v>
      </c>
      <c r="E44" s="235">
        <v>1775300</v>
      </c>
      <c r="F44" s="235">
        <v>1857000</v>
      </c>
      <c r="G44" s="235">
        <v>1942500</v>
      </c>
      <c r="H44" s="66" t="str">
        <f>VLOOKUP(A44,'Tot KPA'!A:H,8,0)</f>
        <v>Service charges</v>
      </c>
      <c r="I44" s="66" t="str">
        <f>VLOOKUP(A44,'Tot KPA'!A:I,9,0)</f>
        <v>Water</v>
      </c>
    </row>
    <row r="45" spans="1:9" x14ac:dyDescent="0.35">
      <c r="A45" s="66" t="s">
        <v>3524</v>
      </c>
      <c r="B45" s="89"/>
      <c r="C45" s="89"/>
      <c r="D45" s="235">
        <v>804.72</v>
      </c>
      <c r="E45" s="235">
        <v>900</v>
      </c>
      <c r="F45" s="235">
        <v>1000</v>
      </c>
      <c r="G45" s="235">
        <v>1100</v>
      </c>
      <c r="H45" s="66" t="str">
        <f>VLOOKUP(A45,'Tot KPA'!A:H,8,0)</f>
        <v>Service charges</v>
      </c>
      <c r="I45" s="66" t="str">
        <f>VLOOKUP(A45,'Tot KPA'!A:I,9,0)</f>
        <v>Water</v>
      </c>
    </row>
    <row r="46" spans="1:9" x14ac:dyDescent="0.35">
      <c r="A46" s="66" t="s">
        <v>3525</v>
      </c>
      <c r="B46" s="89"/>
      <c r="C46" s="89"/>
      <c r="D46" s="235">
        <v>89549.6</v>
      </c>
      <c r="E46" s="235">
        <v>96300</v>
      </c>
      <c r="F46" s="235">
        <v>100800</v>
      </c>
      <c r="G46" s="235">
        <v>105500</v>
      </c>
      <c r="H46" s="66" t="str">
        <f>VLOOKUP(A46,'Tot KPA'!A:H,8,0)</f>
        <v>Service charges</v>
      </c>
      <c r="I46" s="66" t="str">
        <f>VLOOKUP(A46,'Tot KPA'!A:I,9,0)</f>
        <v>Water</v>
      </c>
    </row>
    <row r="47" spans="1:9" x14ac:dyDescent="0.35">
      <c r="A47" s="66" t="s">
        <v>3527</v>
      </c>
      <c r="B47" s="89"/>
      <c r="C47" s="89"/>
      <c r="D47" s="235">
        <v>80513.87</v>
      </c>
      <c r="E47" s="235">
        <v>86600</v>
      </c>
      <c r="F47" s="235">
        <v>90600</v>
      </c>
      <c r="G47" s="235">
        <v>94800</v>
      </c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234"/>
      <c r="F48" s="234"/>
      <c r="G48" s="234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234"/>
      <c r="F49" s="234"/>
      <c r="G49" s="234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234"/>
      <c r="F50" s="234"/>
      <c r="G50" s="234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234"/>
      <c r="F51" s="234"/>
      <c r="G51" s="234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234"/>
      <c r="F52" s="234"/>
      <c r="G52" s="234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234"/>
      <c r="F53" s="234"/>
      <c r="G53" s="234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234"/>
      <c r="F54" s="234"/>
      <c r="G54" s="234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x14ac:dyDescent="0.35">
      <c r="A55" s="66" t="s">
        <v>2964</v>
      </c>
      <c r="B55" s="89">
        <v>-681900</v>
      </c>
      <c r="C55" s="89">
        <f>-681900+3000</f>
        <v>-678900</v>
      </c>
      <c r="D55" s="235">
        <v>-473972.49</v>
      </c>
      <c r="E55" s="235">
        <v>-495400</v>
      </c>
      <c r="F55" s="235">
        <v>-518200</v>
      </c>
      <c r="G55" s="235">
        <v>-542100</v>
      </c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x14ac:dyDescent="0.35">
      <c r="A65" s="66" t="s">
        <v>2829</v>
      </c>
      <c r="B65" s="89">
        <v>-8087000</v>
      </c>
      <c r="C65" s="89">
        <v>-8087000</v>
      </c>
      <c r="D65" s="235">
        <v>-8087000</v>
      </c>
      <c r="E65" s="235">
        <v>-739900</v>
      </c>
      <c r="F65" s="235"/>
      <c r="G65" s="235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x14ac:dyDescent="0.35">
      <c r="A72" s="66" t="s">
        <v>3481</v>
      </c>
      <c r="B72" s="89">
        <v>301100</v>
      </c>
      <c r="C72" s="89">
        <v>301100</v>
      </c>
      <c r="D72" s="240"/>
      <c r="E72" s="240"/>
      <c r="F72" s="240"/>
      <c r="G72" s="240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234"/>
      <c r="F73" s="234"/>
      <c r="G73" s="234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234"/>
      <c r="F74" s="234"/>
      <c r="G74" s="234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234"/>
      <c r="F75" s="234"/>
      <c r="G75" s="234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234"/>
      <c r="F76" s="234"/>
      <c r="G76" s="234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234"/>
      <c r="F77" s="234"/>
      <c r="G77" s="234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234"/>
      <c r="F78" s="234"/>
      <c r="G78" s="234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234"/>
      <c r="F79" s="234"/>
      <c r="G79" s="234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234"/>
      <c r="F80" s="234"/>
      <c r="G80" s="234"/>
      <c r="H80" s="66" t="str">
        <f>VLOOKUP(A80,'Tot KPA'!A:H,8,0)</f>
        <v>Property rates</v>
      </c>
      <c r="I80" s="66">
        <f>VLOOKUP(A80,'Tot KPA'!A:I,9,0)</f>
        <v>0</v>
      </c>
    </row>
    <row r="81" spans="1:9" hidden="1" x14ac:dyDescent="0.35">
      <c r="A81" s="66" t="s">
        <v>2947</v>
      </c>
      <c r="B81" s="89"/>
      <c r="C81" s="89"/>
      <c r="D81" s="89"/>
      <c r="E81" s="234"/>
      <c r="F81" s="234"/>
      <c r="G81" s="234"/>
      <c r="H81" s="66" t="str">
        <f>VLOOKUP(A81,'Tot KPA'!A:H,8,0)</f>
        <v>Property rates</v>
      </c>
      <c r="I81" s="66" t="str">
        <f>VLOOKUP(A81,'Tot KPA'!A:I,9,0)</f>
        <v>Rebates</v>
      </c>
    </row>
    <row r="82" spans="1:9" hidden="1" x14ac:dyDescent="0.35">
      <c r="A82" s="66" t="s">
        <v>3070</v>
      </c>
      <c r="B82" s="89"/>
      <c r="C82" s="89"/>
      <c r="D82" s="89"/>
      <c r="E82" s="234"/>
      <c r="F82" s="234"/>
      <c r="G82" s="234"/>
      <c r="H82" s="66" t="str">
        <f>VLOOKUP(A82,'Tot KPA'!A:H,8,0)</f>
        <v>Property rates</v>
      </c>
      <c r="I82" s="66" t="str">
        <f>VLOOKUP(A82,'Tot KPA'!A:I,9,0)</f>
        <v>Rebates</v>
      </c>
    </row>
    <row r="83" spans="1:9" hidden="1" x14ac:dyDescent="0.35">
      <c r="A83" s="66" t="s">
        <v>3514</v>
      </c>
      <c r="B83" s="89"/>
      <c r="C83" s="89"/>
      <c r="D83" s="89"/>
      <c r="E83" s="234"/>
      <c r="F83" s="234"/>
      <c r="G83" s="234"/>
      <c r="H83" s="66"/>
      <c r="I83" s="66"/>
    </row>
    <row r="84" spans="1:9" hidden="1" x14ac:dyDescent="0.35">
      <c r="A84" s="66" t="s">
        <v>3069</v>
      </c>
      <c r="B84" s="89"/>
      <c r="C84" s="89"/>
      <c r="D84" s="89"/>
      <c r="E84" s="234"/>
      <c r="F84" s="234"/>
      <c r="G84" s="234"/>
      <c r="H84" s="66" t="str">
        <f>VLOOKUP(A84,'Tot KPA'!A:H,8,0)</f>
        <v>Property rates</v>
      </c>
      <c r="I84" s="66" t="str">
        <f>VLOOKUP(A84,'Tot KPA'!A:I,9,0)</f>
        <v>Rebates</v>
      </c>
    </row>
    <row r="85" spans="1:9" hidden="1" x14ac:dyDescent="0.35">
      <c r="A85" s="66" t="s">
        <v>2946</v>
      </c>
      <c r="B85" s="89"/>
      <c r="C85" s="89"/>
      <c r="D85" s="89"/>
      <c r="E85" s="234"/>
      <c r="F85" s="234"/>
      <c r="G85" s="234"/>
      <c r="H85" s="66" t="str">
        <f>VLOOKUP(A85,'Tot KPA'!A:H,8,0)</f>
        <v>Property rates</v>
      </c>
      <c r="I85" s="66" t="str">
        <f>VLOOKUP(A85,'Tot KPA'!A:I,9,0)</f>
        <v>Rebates</v>
      </c>
    </row>
    <row r="86" spans="1:9" hidden="1" x14ac:dyDescent="0.35">
      <c r="A86" s="66" t="s">
        <v>2975</v>
      </c>
      <c r="B86" s="89"/>
      <c r="C86" s="89"/>
      <c r="D86" s="89"/>
      <c r="E86" s="234"/>
      <c r="F86" s="234"/>
      <c r="G86" s="234"/>
      <c r="H86" s="66" t="str">
        <f>VLOOKUP(A86,'Tot KPA'!A:H,8,0)</f>
        <v>Other revenue</v>
      </c>
      <c r="I86" s="66">
        <f>VLOOKUP(A86,'Tot KPA'!A:I,9,0)</f>
        <v>0</v>
      </c>
    </row>
    <row r="87" spans="1:9" hidden="1" x14ac:dyDescent="0.35">
      <c r="A87" s="66" t="s">
        <v>3516</v>
      </c>
      <c r="B87" s="89"/>
      <c r="C87" s="89"/>
      <c r="D87" s="89"/>
      <c r="E87" s="234"/>
      <c r="F87" s="234"/>
      <c r="G87" s="234"/>
      <c r="H87" s="66" t="str">
        <f>VLOOKUP(A87,'Tot KPA'!A:H,8,0)</f>
        <v>Service charges</v>
      </c>
      <c r="I87" s="66" t="str">
        <f>VLOOKUP(A87,'Tot KPA'!A:I,9,0)</f>
        <v>Refuse</v>
      </c>
    </row>
    <row r="88" spans="1:9" hidden="1" x14ac:dyDescent="0.35">
      <c r="A88" s="66" t="s">
        <v>3515</v>
      </c>
      <c r="B88" s="89"/>
      <c r="C88" s="89"/>
      <c r="D88" s="89"/>
      <c r="E88" s="234"/>
      <c r="F88" s="234"/>
      <c r="G88" s="234"/>
      <c r="H88" s="66" t="str">
        <f>VLOOKUP(A88,'Tot KPA'!A:H,8,0)</f>
        <v>Service charges</v>
      </c>
      <c r="I88" s="66" t="str">
        <f>VLOOKUP(A88,'Tot KPA'!A:I,9,0)</f>
        <v>Refuse</v>
      </c>
    </row>
    <row r="89" spans="1:9" x14ac:dyDescent="0.35">
      <c r="A89" s="66" t="s">
        <v>2830</v>
      </c>
      <c r="B89" s="89">
        <v>-20000000</v>
      </c>
      <c r="C89" s="89"/>
      <c r="D89" s="235"/>
      <c r="E89" s="235"/>
      <c r="F89" s="235"/>
      <c r="G89" s="235">
        <v>0</v>
      </c>
      <c r="H89" s="66" t="str">
        <f>VLOOKUP(A89,'Tot KPA'!A:H,8,0)</f>
        <v>Transfers recognised</v>
      </c>
      <c r="I89" s="66" t="str">
        <f>VLOOKUP(A89,'Tot KPA'!A:I,9,0)</f>
        <v>Capital</v>
      </c>
    </row>
    <row r="90" spans="1:9" hidden="1" x14ac:dyDescent="0.35">
      <c r="A90" s="66" t="s">
        <v>2873</v>
      </c>
      <c r="B90" s="89"/>
      <c r="C90" s="89"/>
      <c r="D90" s="89"/>
      <c r="E90" s="234"/>
      <c r="F90" s="234"/>
      <c r="G90" s="234"/>
      <c r="H90" s="66" t="str">
        <f>VLOOKUP(A90,'Tot KPA'!A:H,8,0)</f>
        <v>Rental of facilities and equipment</v>
      </c>
      <c r="I90" s="66">
        <f>VLOOKUP(A90,'Tot KPA'!A:I,9,0)</f>
        <v>0</v>
      </c>
    </row>
    <row r="91" spans="1:9" hidden="1" x14ac:dyDescent="0.35">
      <c r="A91" s="66" t="s">
        <v>2937</v>
      </c>
      <c r="B91" s="89"/>
      <c r="C91" s="89"/>
      <c r="D91" s="89"/>
      <c r="E91" s="234"/>
      <c r="F91" s="234"/>
      <c r="G91" s="234"/>
      <c r="H91" s="66" t="str">
        <f>VLOOKUP(A91,'Tot KPA'!A:H,8,0)</f>
        <v>Other revenue</v>
      </c>
      <c r="I91" s="66">
        <f>VLOOKUP(A91,'Tot KPA'!A:I,9,0)</f>
        <v>0</v>
      </c>
    </row>
    <row r="92" spans="1:9" hidden="1" x14ac:dyDescent="0.35">
      <c r="A92" s="66" t="s">
        <v>2935</v>
      </c>
      <c r="B92" s="89"/>
      <c r="C92" s="89"/>
      <c r="D92" s="89"/>
      <c r="E92" s="234"/>
      <c r="F92" s="234"/>
      <c r="G92" s="234"/>
      <c r="H92" s="66" t="str">
        <f>VLOOKUP(A92,'Tot KPA'!A:H,8,0)</f>
        <v>Other revenue</v>
      </c>
      <c r="I92" s="66">
        <f>VLOOKUP(A92,'Tot KPA'!A:I,9,0)</f>
        <v>0</v>
      </c>
    </row>
    <row r="93" spans="1:9" hidden="1" x14ac:dyDescent="0.35">
      <c r="A93" s="66" t="s">
        <v>2898</v>
      </c>
      <c r="B93" s="89"/>
      <c r="C93" s="89"/>
      <c r="D93" s="89"/>
      <c r="E93" s="234"/>
      <c r="F93" s="234"/>
      <c r="G93" s="234"/>
      <c r="H93" s="66" t="str">
        <f>VLOOKUP(A93,'Tot KPA'!A:H,8,0)</f>
        <v>Other revenue</v>
      </c>
      <c r="I93" s="66">
        <f>VLOOKUP(A93,'Tot KPA'!A:I,9,0)</f>
        <v>0</v>
      </c>
    </row>
    <row r="94" spans="1:9" hidden="1" x14ac:dyDescent="0.35">
      <c r="A94" s="66" t="s">
        <v>2841</v>
      </c>
      <c r="B94" s="89"/>
      <c r="C94" s="89"/>
      <c r="D94" s="89"/>
      <c r="E94" s="234"/>
      <c r="F94" s="234"/>
      <c r="G94" s="234"/>
      <c r="H94" s="66" t="str">
        <f>VLOOKUP(A94,'Tot KPA'!A:H,8,0)</f>
        <v>Other revenue</v>
      </c>
      <c r="I94" s="66">
        <f>VLOOKUP(A94,'Tot KPA'!A:I,9,0)</f>
        <v>0</v>
      </c>
    </row>
    <row r="95" spans="1:9" hidden="1" x14ac:dyDescent="0.35">
      <c r="A95" s="66" t="s">
        <v>2945</v>
      </c>
      <c r="B95" s="89"/>
      <c r="C95" s="89"/>
      <c r="D95" s="89"/>
      <c r="E95" s="234"/>
      <c r="F95" s="234"/>
      <c r="G95" s="234"/>
      <c r="H95" s="66" t="str">
        <f>VLOOKUP(A95,'Tot KPA'!A:H,8,0)</f>
        <v>Service charges</v>
      </c>
      <c r="I95" s="66" t="str">
        <f>VLOOKUP(A95,'Tot KPA'!A:I,9,0)</f>
        <v>Sanitation</v>
      </c>
    </row>
    <row r="96" spans="1:9" hidden="1" x14ac:dyDescent="0.35">
      <c r="A96" s="66" t="s">
        <v>3521</v>
      </c>
      <c r="B96" s="89"/>
      <c r="C96" s="89"/>
      <c r="D96" s="89"/>
      <c r="E96" s="234"/>
      <c r="F96" s="234"/>
      <c r="G96" s="234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234"/>
      <c r="F97" s="234"/>
      <c r="G97" s="234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234"/>
      <c r="F98" s="234"/>
      <c r="G98" s="234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234"/>
      <c r="F99" s="234"/>
      <c r="G99" s="234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/>
      <c r="C100" s="89"/>
      <c r="D100" s="89"/>
      <c r="E100" s="234"/>
      <c r="F100" s="234"/>
      <c r="G100" s="234"/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/>
      <c r="C101" s="89"/>
      <c r="D101" s="89"/>
      <c r="E101" s="234"/>
      <c r="F101" s="234"/>
      <c r="G101" s="234"/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/>
      <c r="C102" s="89"/>
      <c r="D102" s="89"/>
      <c r="E102" s="234"/>
      <c r="F102" s="234"/>
      <c r="G102" s="234"/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/>
      <c r="C103" s="89"/>
      <c r="D103" s="89"/>
      <c r="E103" s="234"/>
      <c r="F103" s="234"/>
      <c r="G103" s="234"/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/>
      <c r="C104" s="89"/>
      <c r="D104" s="89"/>
      <c r="E104" s="234"/>
      <c r="F104" s="234"/>
      <c r="G104" s="234"/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/>
      <c r="C105" s="89"/>
      <c r="D105" s="89"/>
      <c r="E105" s="234"/>
      <c r="F105" s="234"/>
      <c r="G105" s="234"/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/>
      <c r="C106" s="89"/>
      <c r="D106" s="89"/>
      <c r="E106" s="234"/>
      <c r="F106" s="234"/>
      <c r="G106" s="234"/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/>
      <c r="C107" s="89"/>
      <c r="D107" s="89"/>
      <c r="E107" s="234"/>
      <c r="F107" s="234"/>
      <c r="G107" s="234"/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/>
      <c r="C108" s="89"/>
      <c r="D108" s="89"/>
      <c r="E108" s="234"/>
      <c r="F108" s="234"/>
      <c r="G108" s="234"/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/>
      <c r="C109" s="89"/>
      <c r="D109" s="89"/>
      <c r="E109" s="234"/>
      <c r="F109" s="234"/>
      <c r="G109" s="234"/>
      <c r="H109" s="66" t="str">
        <f>VLOOKUP(A109,'Tot KPA'!A:H,8,0)</f>
        <v>Fines</v>
      </c>
      <c r="I109" s="66">
        <f>VLOOKUP(A109,'Tot KPA'!A:I,9,0)</f>
        <v>0</v>
      </c>
    </row>
    <row r="110" spans="1:9" x14ac:dyDescent="0.35">
      <c r="A110" s="66" t="s">
        <v>2943</v>
      </c>
      <c r="B110" s="89">
        <v>-11600</v>
      </c>
      <c r="C110" s="89">
        <v>-11600</v>
      </c>
      <c r="D110" s="235">
        <v>-5890</v>
      </c>
      <c r="E110" s="235">
        <v>-11600</v>
      </c>
      <c r="F110" s="235">
        <v>-12200</v>
      </c>
      <c r="G110" s="235">
        <v>-12900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x14ac:dyDescent="0.35">
      <c r="A111" s="66" t="s">
        <v>2831</v>
      </c>
      <c r="B111" s="89">
        <v>0</v>
      </c>
      <c r="C111" s="89">
        <v>0</v>
      </c>
      <c r="D111" s="235"/>
      <c r="E111" s="235">
        <v>0</v>
      </c>
      <c r="F111" s="235">
        <v>-10000000</v>
      </c>
      <c r="G111" s="235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x14ac:dyDescent="0.35">
      <c r="A112" s="66" t="s">
        <v>2940</v>
      </c>
      <c r="B112" s="89">
        <v>-2000</v>
      </c>
      <c r="C112" s="89">
        <v>-2000</v>
      </c>
      <c r="D112" s="235">
        <v>-450</v>
      </c>
      <c r="E112" s="235">
        <v>-2000</v>
      </c>
      <c r="F112" s="235">
        <v>-2200</v>
      </c>
      <c r="G112" s="235">
        <v>-2400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10" x14ac:dyDescent="0.35">
      <c r="A113" s="66" t="s">
        <v>2942</v>
      </c>
      <c r="B113" s="89">
        <v>-3600</v>
      </c>
      <c r="C113" s="89">
        <v>-3600</v>
      </c>
      <c r="D113" s="235">
        <v>-4812.33</v>
      </c>
      <c r="E113" s="235">
        <v>-3600</v>
      </c>
      <c r="F113" s="235">
        <v>-3800</v>
      </c>
      <c r="G113" s="235">
        <v>-4000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10" x14ac:dyDescent="0.35">
      <c r="A114" s="66" t="s">
        <v>3530</v>
      </c>
      <c r="B114" s="89">
        <f>-4550400-150300</f>
        <v>-4700700</v>
      </c>
      <c r="C114" s="89">
        <f>-4550400-150300+145000</f>
        <v>-4555700</v>
      </c>
      <c r="D114" s="235">
        <v>-4565232.8600000003</v>
      </c>
      <c r="E114" s="235">
        <v>-4907700</v>
      </c>
      <c r="F114" s="235">
        <v>-5133500</v>
      </c>
      <c r="G114" s="235">
        <v>-5369700</v>
      </c>
      <c r="H114" s="66" t="str">
        <f>VLOOKUP(A114,'Tot KPA'!A:H,8,0)</f>
        <v>Service charges</v>
      </c>
      <c r="I114" s="66" t="str">
        <f>VLOOKUP(A114,'Tot KPA'!A:I,9,0)</f>
        <v>Water</v>
      </c>
      <c r="J114" s="111"/>
    </row>
    <row r="115" spans="1:10" x14ac:dyDescent="0.35">
      <c r="A115" s="66" t="s">
        <v>3528</v>
      </c>
      <c r="B115" s="89"/>
      <c r="C115" s="89"/>
      <c r="D115" s="235">
        <v>-33364.379999999997</v>
      </c>
      <c r="E115" s="235">
        <v>-35900</v>
      </c>
      <c r="F115" s="235">
        <v>-37600</v>
      </c>
      <c r="G115" s="235">
        <v>-39400</v>
      </c>
      <c r="H115" s="66" t="str">
        <f>VLOOKUP(A115,'Tot KPA'!A:H,8,0)</f>
        <v>Service charges</v>
      </c>
      <c r="I115" s="66" t="str">
        <f>VLOOKUP(A115,'Tot KPA'!A:I,9,0)</f>
        <v>Water</v>
      </c>
      <c r="J115" s="111"/>
    </row>
    <row r="116" spans="1:10" x14ac:dyDescent="0.35">
      <c r="A116" s="66" t="s">
        <v>3529</v>
      </c>
      <c r="B116" s="89"/>
      <c r="C116" s="89"/>
      <c r="D116" s="235"/>
      <c r="E116" s="235"/>
      <c r="F116" s="235"/>
      <c r="G116" s="235"/>
      <c r="H116" s="66" t="str">
        <f>VLOOKUP(A116,'Tot KPA'!A:H,8,0)</f>
        <v>Service charges</v>
      </c>
      <c r="I116" s="66" t="str">
        <f>VLOOKUP(A116,'Tot KPA'!A:I,9,0)</f>
        <v>Water</v>
      </c>
      <c r="J116" s="111"/>
    </row>
    <row r="117" spans="1:10" x14ac:dyDescent="0.35">
      <c r="A117" s="66" t="s">
        <v>3531</v>
      </c>
      <c r="B117" s="89"/>
      <c r="C117" s="89"/>
      <c r="D117" s="235">
        <v>-522771.24</v>
      </c>
      <c r="E117" s="235">
        <v>-562000</v>
      </c>
      <c r="F117" s="235">
        <v>-587900</v>
      </c>
      <c r="G117" s="235">
        <v>-615000</v>
      </c>
      <c r="H117" s="66" t="str">
        <f>VLOOKUP(A117,'Tot KPA'!A:H,8,0)</f>
        <v>Service charges</v>
      </c>
      <c r="I117" s="66" t="str">
        <f>VLOOKUP(A117,'Tot KPA'!A:I,9,0)</f>
        <v>Water</v>
      </c>
      <c r="J117" s="111"/>
    </row>
    <row r="118" spans="1:10" x14ac:dyDescent="0.35">
      <c r="A118" s="66" t="s">
        <v>2941</v>
      </c>
      <c r="B118" s="89">
        <v>-12000</v>
      </c>
      <c r="C118" s="89">
        <v>0</v>
      </c>
      <c r="D118" s="235">
        <v>-6000</v>
      </c>
      <c r="E118" s="235">
        <v>-12000</v>
      </c>
      <c r="F118" s="235">
        <v>-12000</v>
      </c>
      <c r="G118" s="235">
        <v>-12000</v>
      </c>
      <c r="H118" s="66" t="str">
        <f>VLOOKUP(A118,'Tot KPA'!A:H,8,0)</f>
        <v>Fines</v>
      </c>
      <c r="I118" s="66">
        <f>VLOOKUP(A118,'Tot KPA'!A:I,9,0)</f>
        <v>0</v>
      </c>
    </row>
    <row r="119" spans="1:10" x14ac:dyDescent="0.35">
      <c r="A119" s="66" t="s">
        <v>2970</v>
      </c>
      <c r="B119" s="89">
        <v>0</v>
      </c>
      <c r="C119" s="89">
        <v>0</v>
      </c>
      <c r="D119" s="89"/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10" ht="15" thickBot="1" x14ac:dyDescent="0.4">
      <c r="A121" s="117" t="s">
        <v>2545</v>
      </c>
      <c r="B121" s="112">
        <f t="shared" ref="B121:G121" si="0">SUM(B2:B119)</f>
        <v>-36691200</v>
      </c>
      <c r="C121" s="112">
        <f t="shared" si="0"/>
        <v>-16531200</v>
      </c>
      <c r="D121" s="112">
        <f t="shared" si="0"/>
        <v>-16427475.630000003</v>
      </c>
      <c r="E121" s="112">
        <f t="shared" si="0"/>
        <v>-9639400</v>
      </c>
      <c r="F121" s="112">
        <f t="shared" si="0"/>
        <v>-19481800</v>
      </c>
      <c r="G121" s="112">
        <f t="shared" si="0"/>
        <v>-10055800</v>
      </c>
    </row>
    <row r="122" spans="1:10" ht="15" thickTop="1" x14ac:dyDescent="0.35">
      <c r="E122" s="111"/>
      <c r="F122" s="111"/>
      <c r="G122" s="111"/>
    </row>
    <row r="123" spans="1:10" x14ac:dyDescent="0.35">
      <c r="A123" s="117" t="s">
        <v>2699</v>
      </c>
    </row>
    <row r="124" spans="1:10" x14ac:dyDescent="0.35">
      <c r="A124" s="117"/>
    </row>
    <row r="125" spans="1:10" hidden="1" x14ac:dyDescent="0.35">
      <c r="A125" s="66" t="s">
        <v>3438</v>
      </c>
      <c r="B125" s="89">
        <v>34700</v>
      </c>
      <c r="C125" s="89">
        <v>34700</v>
      </c>
      <c r="D125" s="235">
        <v>32900</v>
      </c>
      <c r="E125" s="235">
        <v>34700</v>
      </c>
      <c r="F125" s="235">
        <v>36600</v>
      </c>
      <c r="G125" s="235">
        <v>38500</v>
      </c>
      <c r="H125" s="66" t="str">
        <f>VLOOKUP(A125,'Tot KPA'!A:H,8,0)</f>
        <v>Other expenditure</v>
      </c>
      <c r="I125" s="66">
        <f>VLOOKUP(A125,'Tot KPA'!A:I,9,0)</f>
        <v>0</v>
      </c>
    </row>
    <row r="126" spans="1:10" hidden="1" x14ac:dyDescent="0.35">
      <c r="A126" s="66" t="s">
        <v>3510</v>
      </c>
      <c r="B126" s="89">
        <v>0</v>
      </c>
      <c r="C126" s="89">
        <v>0</v>
      </c>
      <c r="D126" s="89"/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10" hidden="1" x14ac:dyDescent="0.35">
      <c r="A127" s="66" t="s">
        <v>2822</v>
      </c>
      <c r="B127" s="89">
        <v>0</v>
      </c>
      <c r="C127" s="89">
        <v>0</v>
      </c>
      <c r="D127" s="89"/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10" hidden="1" x14ac:dyDescent="0.35">
      <c r="A128" s="66" t="s">
        <v>2821</v>
      </c>
      <c r="B128" s="89">
        <v>0</v>
      </c>
      <c r="C128" s="89">
        <v>0</v>
      </c>
      <c r="D128" s="89"/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/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/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/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/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/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250000</v>
      </c>
      <c r="C134" s="89">
        <v>250000</v>
      </c>
      <c r="D134" s="235">
        <v>51216</v>
      </c>
      <c r="E134" s="235">
        <v>250000</v>
      </c>
      <c r="F134" s="235">
        <f>+E134*1.054</f>
        <v>263500</v>
      </c>
      <c r="G134" s="235">
        <v>277800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/>
      <c r="C135" s="89"/>
      <c r="D135" s="89"/>
      <c r="E135" s="235"/>
      <c r="F135" s="235"/>
      <c r="G135" s="235"/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/>
      <c r="C136" s="89"/>
      <c r="D136" s="89"/>
      <c r="E136" s="235"/>
      <c r="F136" s="235"/>
      <c r="G136" s="235"/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/>
      <c r="C137" s="89"/>
      <c r="D137" s="89"/>
      <c r="E137" s="235"/>
      <c r="F137" s="235"/>
      <c r="G137" s="235"/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52000</v>
      </c>
      <c r="C138" s="89">
        <v>52000</v>
      </c>
      <c r="D138" s="235">
        <v>19817.650000000001</v>
      </c>
      <c r="E138" s="235">
        <v>52000</v>
      </c>
      <c r="F138" s="235">
        <v>54800</v>
      </c>
      <c r="G138" s="235">
        <v>57800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235"/>
      <c r="E139" s="235"/>
      <c r="F139" s="235"/>
      <c r="G139" s="235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/>
      <c r="C140" s="89"/>
      <c r="D140" s="89"/>
      <c r="E140" s="89"/>
      <c r="F140" s="89"/>
      <c r="G140" s="89"/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/>
      <c r="C141" s="89"/>
      <c r="D141" s="89"/>
      <c r="E141" s="89"/>
      <c r="F141" s="89"/>
      <c r="G141" s="89"/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/>
      <c r="C142" s="89"/>
      <c r="D142" s="89"/>
      <c r="E142" s="89"/>
      <c r="F142" s="89"/>
      <c r="G142" s="89"/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/>
      <c r="C143" s="89"/>
      <c r="D143" s="89"/>
      <c r="E143" s="89"/>
      <c r="F143" s="89"/>
      <c r="G143" s="89"/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/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/>
      <c r="C145" s="89"/>
      <c r="D145" s="89"/>
      <c r="E145" s="89"/>
      <c r="F145" s="89"/>
      <c r="G145" s="89"/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/>
      <c r="C146" s="89"/>
      <c r="D146" s="89"/>
      <c r="E146" s="89"/>
      <c r="F146" s="89"/>
      <c r="G146" s="89"/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/>
      <c r="C147" s="89"/>
      <c r="D147" s="89"/>
      <c r="E147" s="89"/>
      <c r="F147" s="89"/>
      <c r="G147" s="89"/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/>
      <c r="C148" s="89"/>
      <c r="D148" s="89"/>
      <c r="E148" s="89"/>
      <c r="F148" s="89"/>
      <c r="G148" s="89"/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/>
      <c r="C149" s="89"/>
      <c r="D149" s="89"/>
      <c r="E149" s="89"/>
      <c r="F149" s="89"/>
      <c r="G149" s="89"/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/>
      <c r="C150" s="89"/>
      <c r="D150" s="89"/>
      <c r="E150" s="89"/>
      <c r="F150" s="89"/>
      <c r="G150" s="89"/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/>
      <c r="C151" s="89"/>
      <c r="D151" s="89"/>
      <c r="E151" s="89"/>
      <c r="F151" s="89"/>
      <c r="G151" s="89"/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/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665000</v>
      </c>
      <c r="C153" s="89">
        <v>665000</v>
      </c>
      <c r="D153" s="235"/>
      <c r="E153" s="235"/>
      <c r="F153" s="235"/>
      <c r="G153" s="235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idden="1" x14ac:dyDescent="0.35">
      <c r="A164" s="66" t="s">
        <v>3004</v>
      </c>
      <c r="B164" s="89"/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/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>
        <v>612900</v>
      </c>
      <c r="C167" s="89">
        <v>612900</v>
      </c>
      <c r="D167" s="235">
        <f>612900*1.3</f>
        <v>796770</v>
      </c>
      <c r="E167" s="235">
        <v>670000</v>
      </c>
      <c r="F167" s="235">
        <v>700800</v>
      </c>
      <c r="G167" s="235">
        <v>734000</v>
      </c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x14ac:dyDescent="0.35">
      <c r="A170" s="66" t="s">
        <v>2849</v>
      </c>
      <c r="B170" s="89">
        <v>7200000</v>
      </c>
      <c r="C170" s="89">
        <v>7200000</v>
      </c>
      <c r="D170" s="235">
        <f>1250000+1975000</f>
        <v>3225000</v>
      </c>
      <c r="E170" s="235">
        <f>1306000+1975000</f>
        <v>3281000</v>
      </c>
      <c r="F170" s="235">
        <f t="shared" ref="F170:G170" si="1">1306000+1975000</f>
        <v>3281000</v>
      </c>
      <c r="G170" s="235">
        <f t="shared" si="1"/>
        <v>3281000</v>
      </c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234"/>
      <c r="F171" s="234"/>
      <c r="G171" s="234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234"/>
      <c r="F172" s="234"/>
      <c r="G172" s="234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234"/>
      <c r="F173" s="234"/>
      <c r="G173" s="234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234"/>
      <c r="F174" s="234"/>
      <c r="G174" s="234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234"/>
      <c r="F175" s="234"/>
      <c r="G175" s="234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234"/>
      <c r="F176" s="234"/>
      <c r="G176" s="234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234"/>
      <c r="F177" s="234"/>
      <c r="G177" s="234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234"/>
      <c r="F178" s="234"/>
      <c r="G178" s="234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234"/>
      <c r="F179" s="234"/>
      <c r="G179" s="234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234"/>
      <c r="F180" s="234"/>
      <c r="G180" s="234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234"/>
      <c r="F181" s="234"/>
      <c r="G181" s="234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234"/>
      <c r="F182" s="234"/>
      <c r="G182" s="234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500</v>
      </c>
      <c r="C183" s="89">
        <v>500</v>
      </c>
      <c r="D183" s="235">
        <v>415.33</v>
      </c>
      <c r="E183" s="235">
        <v>500</v>
      </c>
      <c r="F183" s="235">
        <v>600</v>
      </c>
      <c r="G183" s="235">
        <v>700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69600</v>
      </c>
      <c r="C184" s="89">
        <v>69600</v>
      </c>
      <c r="D184" s="235">
        <v>58945.08</v>
      </c>
      <c r="E184" s="235">
        <v>60800</v>
      </c>
      <c r="F184" s="235">
        <v>64800</v>
      </c>
      <c r="G184" s="235">
        <v>69000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/>
      <c r="C185" s="89"/>
      <c r="D185" s="89"/>
      <c r="E185" s="234"/>
      <c r="F185" s="234"/>
      <c r="G185" s="234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0</v>
      </c>
      <c r="C186" s="89">
        <v>0</v>
      </c>
      <c r="D186" s="89"/>
      <c r="E186" s="234">
        <v>0</v>
      </c>
      <c r="F186" s="234">
        <v>0</v>
      </c>
      <c r="G186" s="234">
        <v>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x14ac:dyDescent="0.35">
      <c r="A190" s="66" t="s">
        <v>2904</v>
      </c>
      <c r="B190" s="89">
        <v>100000</v>
      </c>
      <c r="C190" s="89">
        <v>100000</v>
      </c>
      <c r="D190" s="235">
        <v>85492</v>
      </c>
      <c r="E190" s="235">
        <v>100000</v>
      </c>
      <c r="F190" s="235">
        <f>+E190*1.054</f>
        <v>105400</v>
      </c>
      <c r="G190" s="235">
        <v>111100</v>
      </c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96100</v>
      </c>
      <c r="C191" s="89">
        <v>96100</v>
      </c>
      <c r="D191" s="235">
        <v>81217.69</v>
      </c>
      <c r="E191" s="235">
        <v>77300</v>
      </c>
      <c r="F191" s="235">
        <v>82400</v>
      </c>
      <c r="G191" s="235">
        <v>87800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x14ac:dyDescent="0.35">
      <c r="A192" s="66" t="s">
        <v>3039</v>
      </c>
      <c r="B192" s="89"/>
      <c r="C192" s="89"/>
      <c r="D192" s="89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835100</v>
      </c>
      <c r="C193" s="89">
        <v>835100</v>
      </c>
      <c r="D193" s="235">
        <v>798512.46</v>
      </c>
      <c r="E193" s="235">
        <v>727500</v>
      </c>
      <c r="F193" s="235">
        <v>774800</v>
      </c>
      <c r="G193" s="235">
        <v>825200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6700</v>
      </c>
      <c r="C198" s="89">
        <v>6700</v>
      </c>
      <c r="D198" s="235">
        <v>5914.38</v>
      </c>
      <c r="E198" s="235">
        <v>5600</v>
      </c>
      <c r="F198" s="235">
        <v>6000</v>
      </c>
      <c r="G198" s="235">
        <v>6400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234"/>
      <c r="F199" s="234"/>
      <c r="G199" s="234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234"/>
      <c r="F200" s="234"/>
      <c r="G200" s="234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234"/>
      <c r="F201" s="234"/>
      <c r="G201" s="234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234"/>
      <c r="F202" s="234"/>
      <c r="G202" s="234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234"/>
      <c r="F203" s="234"/>
      <c r="G203" s="234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234"/>
      <c r="F204" s="234"/>
      <c r="G204" s="234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234"/>
      <c r="F205" s="234"/>
      <c r="G205" s="234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234"/>
      <c r="F206" s="234"/>
      <c r="G206" s="234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234"/>
      <c r="F207" s="234"/>
      <c r="G207" s="234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234"/>
      <c r="F208" s="234"/>
      <c r="G208" s="234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234"/>
      <c r="F209" s="234"/>
      <c r="G209" s="234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234"/>
      <c r="F210" s="234"/>
      <c r="G210" s="234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234"/>
      <c r="F211" s="234"/>
      <c r="G211" s="234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234"/>
      <c r="F212" s="234"/>
      <c r="G212" s="234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234"/>
      <c r="F213" s="234"/>
      <c r="G213" s="234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f>205000-40000</f>
        <v>165000</v>
      </c>
      <c r="C214" s="89">
        <f>205000-40000</f>
        <v>165000</v>
      </c>
      <c r="D214" s="235">
        <v>187412.11</v>
      </c>
      <c r="E214" s="235">
        <v>195000</v>
      </c>
      <c r="F214" s="235">
        <v>204000</v>
      </c>
      <c r="G214" s="235">
        <v>213400</v>
      </c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235"/>
      <c r="E215" s="235"/>
      <c r="F215" s="234"/>
      <c r="G215" s="234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235"/>
      <c r="E216" s="235"/>
      <c r="F216" s="234"/>
      <c r="G216" s="234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235"/>
      <c r="E217" s="235"/>
      <c r="F217" s="234"/>
      <c r="G217" s="234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235"/>
      <c r="E218" s="235"/>
      <c r="F218" s="234"/>
      <c r="G218" s="234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235"/>
      <c r="E219" s="235"/>
      <c r="F219" s="234"/>
      <c r="G219" s="234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235"/>
      <c r="E220" s="235"/>
      <c r="F220" s="234"/>
      <c r="G220" s="234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235"/>
      <c r="E221" s="235"/>
      <c r="F221" s="234"/>
      <c r="G221" s="234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235">
        <v>4150</v>
      </c>
      <c r="E222" s="235">
        <v>4400</v>
      </c>
      <c r="F222" s="235">
        <v>4600</v>
      </c>
      <c r="G222" s="235">
        <v>4900</v>
      </c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234"/>
      <c r="F223" s="234"/>
      <c r="G223" s="234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234"/>
      <c r="F224" s="234"/>
      <c r="G224" s="234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234"/>
      <c r="F225" s="234"/>
      <c r="G225" s="234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>
        <v>75000</v>
      </c>
      <c r="C226" s="89">
        <v>75000</v>
      </c>
      <c r="D226" s="235">
        <v>68450</v>
      </c>
      <c r="E226" s="235">
        <v>75000</v>
      </c>
      <c r="F226" s="235">
        <v>79100</v>
      </c>
      <c r="G226" s="235">
        <v>83400</v>
      </c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>
        <v>50000</v>
      </c>
      <c r="C227" s="89">
        <v>50000</v>
      </c>
      <c r="D227" s="235">
        <v>45000</v>
      </c>
      <c r="E227" s="235">
        <v>50000</v>
      </c>
      <c r="F227" s="235">
        <f>+E227*1.054</f>
        <v>52700</v>
      </c>
      <c r="G227" s="235">
        <v>111100</v>
      </c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5"/>
      <c r="F228" s="235"/>
      <c r="G228" s="235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235"/>
      <c r="F229" s="235"/>
      <c r="G229" s="235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>
        <v>100000</v>
      </c>
      <c r="C230" s="89">
        <v>77000</v>
      </c>
      <c r="D230" s="235">
        <v>79512.639999999999</v>
      </c>
      <c r="E230" s="235">
        <v>100000</v>
      </c>
      <c r="F230" s="235">
        <f>+E230*1.054</f>
        <v>105400</v>
      </c>
      <c r="G230" s="235">
        <v>111100</v>
      </c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235"/>
      <c r="F231" s="235"/>
      <c r="G231" s="235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235"/>
      <c r="F232" s="235"/>
      <c r="G232" s="235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235"/>
      <c r="F233" s="235"/>
      <c r="G233" s="235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235"/>
      <c r="F234" s="235"/>
      <c r="G234" s="235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235"/>
      <c r="F235" s="235"/>
      <c r="G235" s="235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235"/>
      <c r="F236" s="235"/>
      <c r="G236" s="235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>
        <v>50000</v>
      </c>
      <c r="C237" s="89">
        <v>50000</v>
      </c>
      <c r="D237" s="235">
        <v>67125.47</v>
      </c>
      <c r="E237" s="235">
        <v>50000</v>
      </c>
      <c r="F237" s="235">
        <f>+E237*1.054</f>
        <v>52700</v>
      </c>
      <c r="G237" s="235">
        <v>111100</v>
      </c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>
        <v>8087000</v>
      </c>
      <c r="C251" s="89">
        <v>8087000</v>
      </c>
      <c r="D251" s="240">
        <v>8087000</v>
      </c>
      <c r="E251" s="235">
        <v>739900</v>
      </c>
      <c r="F251" s="235"/>
      <c r="G251" s="235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240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240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240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240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240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240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240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240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240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240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>
        <v>20000000</v>
      </c>
      <c r="C262" s="89">
        <v>0</v>
      </c>
      <c r="D262" s="240">
        <v>0</v>
      </c>
      <c r="E262" s="235"/>
      <c r="F262" s="235">
        <v>0</v>
      </c>
      <c r="G262" s="235">
        <v>0</v>
      </c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v>8400</v>
      </c>
      <c r="C272" s="89">
        <v>8400</v>
      </c>
      <c r="D272" s="235">
        <v>6214.57</v>
      </c>
      <c r="E272" s="235">
        <v>7400</v>
      </c>
      <c r="F272" s="235">
        <v>7900</v>
      </c>
      <c r="G272" s="235">
        <v>8500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>
        <v>13000</v>
      </c>
      <c r="C275" s="89">
        <v>13000</v>
      </c>
      <c r="D275" s="235">
        <v>12550</v>
      </c>
      <c r="E275" s="235">
        <v>13000</v>
      </c>
      <c r="F275" s="235">
        <v>13700</v>
      </c>
      <c r="G275" s="235">
        <v>14400</v>
      </c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89"/>
      <c r="E276" s="235"/>
      <c r="F276" s="235"/>
      <c r="G276" s="235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89"/>
      <c r="E277" s="235"/>
      <c r="F277" s="235"/>
      <c r="G277" s="235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89"/>
      <c r="E278" s="235"/>
      <c r="F278" s="235"/>
      <c r="G278" s="235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89"/>
      <c r="E279" s="235"/>
      <c r="F279" s="235"/>
      <c r="G279" s="235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>
        <f>269000-11900-40000</f>
        <v>217100</v>
      </c>
      <c r="C280" s="89">
        <f>269000-11900-40000</f>
        <v>217100</v>
      </c>
      <c r="D280" s="235">
        <v>213645.55</v>
      </c>
      <c r="E280" s="235">
        <f>269000-11900-40000</f>
        <v>217100</v>
      </c>
      <c r="F280" s="235">
        <v>283500</v>
      </c>
      <c r="G280" s="235">
        <v>298800</v>
      </c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/>
      <c r="C281" s="89"/>
      <c r="D281" s="235"/>
      <c r="E281" s="89"/>
      <c r="F281" s="89"/>
      <c r="G281" s="89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/>
      <c r="C282" s="89"/>
      <c r="D282" s="235"/>
      <c r="E282" s="89"/>
      <c r="F282" s="89"/>
      <c r="G282" s="89"/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/>
      <c r="C283" s="89"/>
      <c r="D283" s="235"/>
      <c r="E283" s="89"/>
      <c r="F283" s="89"/>
      <c r="G283" s="89"/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/>
      <c r="C284" s="89"/>
      <c r="D284" s="235"/>
      <c r="E284" s="89"/>
      <c r="F284" s="89"/>
      <c r="G284" s="89"/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300000</v>
      </c>
      <c r="C285" s="89">
        <f>300000-200000</f>
        <v>100000</v>
      </c>
      <c r="D285" s="235">
        <v>255413.51</v>
      </c>
      <c r="E285" s="235">
        <v>300000</v>
      </c>
      <c r="F285" s="235">
        <f>+E285*1.055</f>
        <v>316500</v>
      </c>
      <c r="G285" s="235">
        <v>334000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45000</v>
      </c>
      <c r="C286" s="89">
        <v>45000</v>
      </c>
      <c r="D286" s="235">
        <v>36456.28</v>
      </c>
      <c r="E286" s="235">
        <v>45000</v>
      </c>
      <c r="F286" s="235">
        <v>47500</v>
      </c>
      <c r="G286" s="235">
        <v>50100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235">
        <v>0</v>
      </c>
      <c r="E287" s="235">
        <v>0</v>
      </c>
      <c r="F287" s="235">
        <v>10000000</v>
      </c>
      <c r="G287" s="235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145000</v>
      </c>
      <c r="C288" s="89">
        <v>145000</v>
      </c>
      <c r="D288" s="235">
        <v>142153.94</v>
      </c>
      <c r="E288" s="235">
        <v>205000</v>
      </c>
      <c r="F288" s="235">
        <v>214500</v>
      </c>
      <c r="G288" s="235">
        <v>225000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2">SUM(B125:B288)</f>
        <v>39178100</v>
      </c>
      <c r="C290" s="112">
        <f t="shared" si="2"/>
        <v>18955100</v>
      </c>
      <c r="D290" s="112">
        <f t="shared" si="2"/>
        <v>14361284.66</v>
      </c>
      <c r="E290" s="112">
        <f t="shared" si="2"/>
        <v>7261200</v>
      </c>
      <c r="F290" s="112">
        <f t="shared" si="2"/>
        <v>16752800</v>
      </c>
      <c r="G290" s="112">
        <f t="shared" si="2"/>
        <v>7055100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3">+B121+B290</f>
        <v>2486900</v>
      </c>
      <c r="C292" s="112">
        <f t="shared" si="3"/>
        <v>2423900</v>
      </c>
      <c r="D292" s="112">
        <f t="shared" si="3"/>
        <v>-2066190.9700000025</v>
      </c>
      <c r="E292" s="112">
        <f t="shared" si="3"/>
        <v>-2378200</v>
      </c>
      <c r="F292" s="112">
        <f t="shared" si="3"/>
        <v>-2729000</v>
      </c>
      <c r="G292" s="112">
        <f t="shared" si="3"/>
        <v>-3000700</v>
      </c>
    </row>
    <row r="293" spans="1:7" ht="15" thickTop="1" x14ac:dyDescent="0.35"/>
    <row r="294" spans="1:7" x14ac:dyDescent="0.35">
      <c r="E294" s="130"/>
    </row>
    <row r="295" spans="1:7" x14ac:dyDescent="0.35">
      <c r="E295" s="111"/>
    </row>
    <row r="305" spans="5:7" x14ac:dyDescent="0.35">
      <c r="E305" s="130"/>
      <c r="F305" s="130"/>
      <c r="G305" s="130"/>
    </row>
  </sheetData>
  <autoFilter ref="G124:H288" xr:uid="{A099C63D-6758-4F19-B646-B3937DCD627F}">
    <filterColumn colId="1">
      <filters>
        <filter val="Depreciation and asset impairment"/>
        <filter val="Employee related cost"/>
      </filters>
    </filterColumn>
  </autoFilter>
  <sortState xmlns:xlrd2="http://schemas.microsoft.com/office/spreadsheetml/2017/richdata2" ref="A125:I288">
    <sortCondition ref="A125:A288"/>
  </sortState>
  <pageMargins left="0.7" right="0.7" top="0.75" bottom="0.75" header="0.3" footer="0.3"/>
  <pageSetup scale="1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filterMode="1">
    <tabColor theme="3"/>
    <pageSetUpPr fitToPage="1"/>
  </sheetPr>
  <dimension ref="A1:K297"/>
  <sheetViews>
    <sheetView topLeftCell="A98" zoomScale="69" zoomScaleNormal="69" workbookViewId="0">
      <selection activeCell="E125" sqref="E125:E288"/>
    </sheetView>
  </sheetViews>
  <sheetFormatPr defaultColWidth="9.1796875" defaultRowHeight="14.5" x14ac:dyDescent="0.35"/>
  <cols>
    <col min="1" max="1" width="61.36328125" style="113" customWidth="1"/>
    <col min="2" max="2" width="22.7265625" style="113" customWidth="1"/>
    <col min="3" max="3" width="19.54296875" style="111" customWidth="1"/>
    <col min="4" max="4" width="19.1796875" style="113" bestFit="1" customWidth="1"/>
    <col min="5" max="5" width="19.54296875" style="113" bestFit="1" customWidth="1"/>
    <col min="6" max="6" width="21" style="113" customWidth="1"/>
    <col min="7" max="7" width="20.26953125" style="113" bestFit="1" customWidth="1"/>
    <col min="8" max="8" width="36.54296875" style="113" customWidth="1"/>
    <col min="9" max="9" width="36.26953125" style="113" customWidth="1"/>
    <col min="10" max="10" width="9.1796875" style="113"/>
    <col min="11" max="11" width="15.81640625" style="113" bestFit="1" customWidth="1"/>
    <col min="12" max="16384" width="9.1796875" style="113"/>
  </cols>
  <sheetData>
    <row r="1" spans="1:9" ht="15" thickBot="1" x14ac:dyDescent="0.4">
      <c r="F1" s="118">
        <v>16</v>
      </c>
      <c r="G1" s="118"/>
    </row>
    <row r="2" spans="1:9" ht="15" thickBot="1" x14ac:dyDescent="0.4">
      <c r="A2" s="120" t="s">
        <v>2814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17" t="s">
        <v>2700</v>
      </c>
      <c r="B4" s="111"/>
      <c r="D4" s="111"/>
      <c r="E4" s="111"/>
      <c r="F4" s="116"/>
      <c r="G4" s="242"/>
    </row>
    <row r="5" spans="1:9" x14ac:dyDescent="0.35">
      <c r="A5" s="117"/>
      <c r="B5" s="111"/>
      <c r="D5" s="111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x14ac:dyDescent="0.35">
      <c r="A25" s="66" t="s">
        <v>2825</v>
      </c>
      <c r="B25" s="89">
        <f>-5062700-500000</f>
        <v>-5562700</v>
      </c>
      <c r="C25" s="89">
        <f>-5062700-500000</f>
        <v>-5562700</v>
      </c>
      <c r="D25" s="235">
        <v>-5562700</v>
      </c>
      <c r="E25" s="235">
        <v>-4828400</v>
      </c>
      <c r="F25" s="235">
        <v>-5223800</v>
      </c>
      <c r="G25" s="235">
        <v>-5602200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235"/>
      <c r="E26" s="235"/>
      <c r="F26" s="235"/>
      <c r="G26" s="235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235"/>
      <c r="E27" s="235"/>
      <c r="F27" s="235"/>
      <c r="G27" s="235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235"/>
      <c r="E28" s="235"/>
      <c r="F28" s="235"/>
      <c r="G28" s="235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235"/>
      <c r="E29" s="235"/>
      <c r="F29" s="235"/>
      <c r="G29" s="235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235"/>
      <c r="E30" s="235"/>
      <c r="F30" s="235"/>
      <c r="G30" s="235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235"/>
      <c r="E31" s="235"/>
      <c r="F31" s="235"/>
      <c r="G31" s="235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235"/>
      <c r="E32" s="235"/>
      <c r="F32" s="235"/>
      <c r="G32" s="235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235"/>
      <c r="E33" s="235"/>
      <c r="F33" s="235"/>
      <c r="G33" s="235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235"/>
      <c r="E34" s="235"/>
      <c r="F34" s="235"/>
      <c r="G34" s="235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235"/>
      <c r="E35" s="235"/>
      <c r="F35" s="235"/>
      <c r="G35" s="235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235"/>
      <c r="E36" s="235"/>
      <c r="F36" s="235"/>
      <c r="G36" s="235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235"/>
      <c r="E37" s="235"/>
      <c r="F37" s="235"/>
      <c r="G37" s="235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235"/>
      <c r="E38" s="235"/>
      <c r="F38" s="235"/>
      <c r="G38" s="235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235"/>
      <c r="E39" s="235"/>
      <c r="F39" s="235"/>
      <c r="G39" s="235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235"/>
      <c r="E40" s="235"/>
      <c r="F40" s="235"/>
      <c r="G40" s="235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235"/>
      <c r="E41" s="235"/>
      <c r="F41" s="235"/>
      <c r="G41" s="235"/>
      <c r="H41" s="66" t="str">
        <f>VLOOKUP(A41,'Tot KPA'!A:H,8,0)</f>
        <v>Service charges</v>
      </c>
      <c r="I41" s="66" t="str">
        <f>VLOOKUP(A41,'Tot KPA'!A:I,9,0)</f>
        <v>Refuse</v>
      </c>
    </row>
    <row r="42" spans="1:9" x14ac:dyDescent="0.35">
      <c r="A42" s="66" t="s">
        <v>3519</v>
      </c>
      <c r="B42" s="89">
        <v>1179300</v>
      </c>
      <c r="C42" s="89">
        <v>1179300</v>
      </c>
      <c r="D42" s="235">
        <v>1201973.82</v>
      </c>
      <c r="E42" s="235">
        <v>1256100</v>
      </c>
      <c r="F42" s="235">
        <v>1313900</v>
      </c>
      <c r="G42" s="235">
        <v>1374400</v>
      </c>
      <c r="H42" s="66" t="str">
        <f>VLOOKUP(A42,'Tot KPA'!A:H,8,0)</f>
        <v>Service charges</v>
      </c>
      <c r="I42" s="66" t="str">
        <f>VLOOKUP(A42,'Tot KPA'!A:I,9,0)</f>
        <v>Sanitation</v>
      </c>
    </row>
    <row r="43" spans="1:9" x14ac:dyDescent="0.35">
      <c r="A43" s="66" t="s">
        <v>3520</v>
      </c>
      <c r="B43" s="89"/>
      <c r="C43" s="89"/>
      <c r="D43" s="235">
        <v>8113.49</v>
      </c>
      <c r="E43" s="235">
        <v>8500</v>
      </c>
      <c r="F43" s="235">
        <v>8900</v>
      </c>
      <c r="G43" s="235">
        <v>9400</v>
      </c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234"/>
      <c r="F44" s="234"/>
      <c r="G44" s="234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234"/>
      <c r="F45" s="234"/>
      <c r="G45" s="234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234"/>
      <c r="F46" s="234"/>
      <c r="G46" s="234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234"/>
      <c r="F47" s="234"/>
      <c r="G47" s="234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234"/>
      <c r="F48" s="234"/>
      <c r="G48" s="234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234"/>
      <c r="F49" s="234"/>
      <c r="G49" s="234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234"/>
      <c r="F50" s="234"/>
      <c r="G50" s="234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234"/>
      <c r="F51" s="234"/>
      <c r="G51" s="234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234"/>
      <c r="F52" s="234"/>
      <c r="G52" s="234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234"/>
      <c r="F53" s="234"/>
      <c r="G53" s="234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x14ac:dyDescent="0.35">
      <c r="A54" s="66" t="s">
        <v>2963</v>
      </c>
      <c r="B54" s="89">
        <v>-718000</v>
      </c>
      <c r="C54" s="89">
        <v>-518000</v>
      </c>
      <c r="D54" s="235">
        <v>-604058.87</v>
      </c>
      <c r="E54" s="235">
        <v>-631300</v>
      </c>
      <c r="F54" s="235">
        <v>-660400</v>
      </c>
      <c r="G54" s="235">
        <v>-690800</v>
      </c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234"/>
      <c r="F55" s="234"/>
      <c r="G55" s="234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234"/>
      <c r="F56" s="234"/>
      <c r="G56" s="234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234"/>
      <c r="F57" s="234"/>
      <c r="G57" s="234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234"/>
      <c r="F58" s="234"/>
      <c r="G58" s="234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234"/>
      <c r="F59" s="234"/>
      <c r="G59" s="234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234"/>
      <c r="F60" s="234"/>
      <c r="G60" s="234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234"/>
      <c r="F61" s="234"/>
      <c r="G61" s="234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234"/>
      <c r="F62" s="234"/>
      <c r="G62" s="234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234"/>
      <c r="F63" s="234"/>
      <c r="G63" s="234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234"/>
      <c r="F64" s="234"/>
      <c r="G64" s="234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234"/>
      <c r="F65" s="234"/>
      <c r="G65" s="234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234"/>
      <c r="F66" s="234"/>
      <c r="G66" s="234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234"/>
      <c r="F67" s="234"/>
      <c r="G67" s="234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234"/>
      <c r="F68" s="234"/>
      <c r="G68" s="234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234"/>
      <c r="F69" s="234"/>
      <c r="G69" s="234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234"/>
      <c r="F70" s="234"/>
      <c r="G70" s="234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234"/>
      <c r="F71" s="234"/>
      <c r="G71" s="234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234"/>
      <c r="F72" s="234"/>
      <c r="G72" s="234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234"/>
      <c r="F73" s="234"/>
      <c r="G73" s="234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234"/>
      <c r="F74" s="234"/>
      <c r="G74" s="234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234"/>
      <c r="F75" s="234"/>
      <c r="G75" s="234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234"/>
      <c r="F76" s="234"/>
      <c r="G76" s="234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234"/>
      <c r="F77" s="234"/>
      <c r="G77" s="234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234"/>
      <c r="F78" s="234"/>
      <c r="G78" s="234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234"/>
      <c r="F79" s="234"/>
      <c r="G79" s="234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234"/>
      <c r="F80" s="234"/>
      <c r="G80" s="234"/>
      <c r="H80" s="66" t="str">
        <f>VLOOKUP(A80,'Tot KPA'!A:H,8,0)</f>
        <v>Property rates</v>
      </c>
      <c r="I80" s="66">
        <f>VLOOKUP(A80,'Tot KPA'!A:I,9,0)</f>
        <v>0</v>
      </c>
    </row>
    <row r="81" spans="1:11" hidden="1" x14ac:dyDescent="0.35">
      <c r="A81" s="66" t="s">
        <v>2947</v>
      </c>
      <c r="B81" s="89"/>
      <c r="C81" s="89"/>
      <c r="D81" s="89"/>
      <c r="E81" s="234"/>
      <c r="F81" s="234"/>
      <c r="G81" s="234"/>
      <c r="H81" s="66" t="str">
        <f>VLOOKUP(A81,'Tot KPA'!A:H,8,0)</f>
        <v>Property rates</v>
      </c>
      <c r="I81" s="66" t="str">
        <f>VLOOKUP(A81,'Tot KPA'!A:I,9,0)</f>
        <v>Rebates</v>
      </c>
    </row>
    <row r="82" spans="1:11" hidden="1" x14ac:dyDescent="0.35">
      <c r="A82" s="66" t="s">
        <v>3070</v>
      </c>
      <c r="B82" s="89"/>
      <c r="C82" s="89"/>
      <c r="D82" s="89"/>
      <c r="E82" s="234"/>
      <c r="F82" s="234"/>
      <c r="G82" s="234"/>
      <c r="H82" s="66" t="str">
        <f>VLOOKUP(A82,'Tot KPA'!A:H,8,0)</f>
        <v>Property rates</v>
      </c>
      <c r="I82" s="66" t="str">
        <f>VLOOKUP(A82,'Tot KPA'!A:I,9,0)</f>
        <v>Rebates</v>
      </c>
    </row>
    <row r="83" spans="1:11" hidden="1" x14ac:dyDescent="0.35">
      <c r="A83" s="66" t="s">
        <v>3514</v>
      </c>
      <c r="B83" s="89"/>
      <c r="C83" s="89"/>
      <c r="D83" s="89"/>
      <c r="E83" s="234"/>
      <c r="F83" s="234"/>
      <c r="G83" s="234"/>
      <c r="H83" s="66"/>
      <c r="I83" s="66"/>
    </row>
    <row r="84" spans="1:11" hidden="1" x14ac:dyDescent="0.35">
      <c r="A84" s="66" t="s">
        <v>3069</v>
      </c>
      <c r="B84" s="89"/>
      <c r="C84" s="89"/>
      <c r="D84" s="89"/>
      <c r="E84" s="234"/>
      <c r="F84" s="234"/>
      <c r="G84" s="234"/>
      <c r="H84" s="66" t="str">
        <f>VLOOKUP(A84,'Tot KPA'!A:H,8,0)</f>
        <v>Property rates</v>
      </c>
      <c r="I84" s="66" t="str">
        <f>VLOOKUP(A84,'Tot KPA'!A:I,9,0)</f>
        <v>Rebates</v>
      </c>
    </row>
    <row r="85" spans="1:11" hidden="1" x14ac:dyDescent="0.35">
      <c r="A85" s="66" t="s">
        <v>2946</v>
      </c>
      <c r="B85" s="89"/>
      <c r="C85" s="89"/>
      <c r="D85" s="89"/>
      <c r="E85" s="234"/>
      <c r="F85" s="234"/>
      <c r="G85" s="234"/>
      <c r="H85" s="66" t="str">
        <f>VLOOKUP(A85,'Tot KPA'!A:H,8,0)</f>
        <v>Property rates</v>
      </c>
      <c r="I85" s="66" t="str">
        <f>VLOOKUP(A85,'Tot KPA'!A:I,9,0)</f>
        <v>Rebates</v>
      </c>
    </row>
    <row r="86" spans="1:11" hidden="1" x14ac:dyDescent="0.35">
      <c r="A86" s="66" t="s">
        <v>2975</v>
      </c>
      <c r="B86" s="89"/>
      <c r="C86" s="89"/>
      <c r="D86" s="89"/>
      <c r="E86" s="234"/>
      <c r="F86" s="234"/>
      <c r="G86" s="234"/>
      <c r="H86" s="66" t="str">
        <f>VLOOKUP(A86,'Tot KPA'!A:H,8,0)</f>
        <v>Other revenue</v>
      </c>
      <c r="I86" s="66">
        <f>VLOOKUP(A86,'Tot KPA'!A:I,9,0)</f>
        <v>0</v>
      </c>
    </row>
    <row r="87" spans="1:11" hidden="1" x14ac:dyDescent="0.35">
      <c r="A87" s="66" t="s">
        <v>3516</v>
      </c>
      <c r="B87" s="89"/>
      <c r="C87" s="89"/>
      <c r="D87" s="89"/>
      <c r="E87" s="234"/>
      <c r="F87" s="234"/>
      <c r="G87" s="234"/>
      <c r="H87" s="66" t="str">
        <f>VLOOKUP(A87,'Tot KPA'!A:H,8,0)</f>
        <v>Service charges</v>
      </c>
      <c r="I87" s="66" t="str">
        <f>VLOOKUP(A87,'Tot KPA'!A:I,9,0)</f>
        <v>Refuse</v>
      </c>
    </row>
    <row r="88" spans="1:11" hidden="1" x14ac:dyDescent="0.35">
      <c r="A88" s="66" t="s">
        <v>3515</v>
      </c>
      <c r="B88" s="89"/>
      <c r="C88" s="89"/>
      <c r="D88" s="89"/>
      <c r="E88" s="234"/>
      <c r="F88" s="234"/>
      <c r="G88" s="234"/>
      <c r="H88" s="66" t="str">
        <f>VLOOKUP(A88,'Tot KPA'!A:H,8,0)</f>
        <v>Service charges</v>
      </c>
      <c r="I88" s="66" t="str">
        <f>VLOOKUP(A88,'Tot KPA'!A:I,9,0)</f>
        <v>Refuse</v>
      </c>
    </row>
    <row r="89" spans="1:11" hidden="1" x14ac:dyDescent="0.35">
      <c r="A89" s="66" t="s">
        <v>2830</v>
      </c>
      <c r="B89" s="89"/>
      <c r="C89" s="89"/>
      <c r="D89" s="89"/>
      <c r="E89" s="234"/>
      <c r="F89" s="234"/>
      <c r="G89" s="234"/>
      <c r="H89" s="66" t="str">
        <f>VLOOKUP(A89,'Tot KPA'!A:H,8,0)</f>
        <v>Transfers recognised</v>
      </c>
      <c r="I89" s="66" t="str">
        <f>VLOOKUP(A89,'Tot KPA'!A:I,9,0)</f>
        <v>Capital</v>
      </c>
    </row>
    <row r="90" spans="1:11" hidden="1" x14ac:dyDescent="0.35">
      <c r="A90" s="66" t="s">
        <v>2873</v>
      </c>
      <c r="B90" s="89"/>
      <c r="C90" s="89"/>
      <c r="D90" s="89"/>
      <c r="E90" s="234"/>
      <c r="F90" s="234"/>
      <c r="G90" s="234"/>
      <c r="H90" s="66" t="str">
        <f>VLOOKUP(A90,'Tot KPA'!A:H,8,0)</f>
        <v>Rental of facilities and equipment</v>
      </c>
      <c r="I90" s="66">
        <f>VLOOKUP(A90,'Tot KPA'!A:I,9,0)</f>
        <v>0</v>
      </c>
    </row>
    <row r="91" spans="1:11" hidden="1" x14ac:dyDescent="0.35">
      <c r="A91" s="66" t="s">
        <v>2937</v>
      </c>
      <c r="B91" s="89"/>
      <c r="C91" s="89"/>
      <c r="D91" s="89"/>
      <c r="E91" s="234"/>
      <c r="F91" s="234"/>
      <c r="G91" s="234"/>
      <c r="H91" s="66" t="str">
        <f>VLOOKUP(A91,'Tot KPA'!A:H,8,0)</f>
        <v>Other revenue</v>
      </c>
      <c r="I91" s="66">
        <f>VLOOKUP(A91,'Tot KPA'!A:I,9,0)</f>
        <v>0</v>
      </c>
    </row>
    <row r="92" spans="1:11" hidden="1" x14ac:dyDescent="0.35">
      <c r="A92" s="66" t="s">
        <v>2935</v>
      </c>
      <c r="B92" s="89"/>
      <c r="C92" s="89"/>
      <c r="D92" s="89"/>
      <c r="E92" s="234"/>
      <c r="F92" s="234"/>
      <c r="G92" s="234"/>
      <c r="H92" s="66" t="str">
        <f>VLOOKUP(A92,'Tot KPA'!A:H,8,0)</f>
        <v>Other revenue</v>
      </c>
      <c r="I92" s="66">
        <f>VLOOKUP(A92,'Tot KPA'!A:I,9,0)</f>
        <v>0</v>
      </c>
    </row>
    <row r="93" spans="1:11" hidden="1" x14ac:dyDescent="0.35">
      <c r="A93" s="66" t="s">
        <v>2898</v>
      </c>
      <c r="B93" s="89"/>
      <c r="C93" s="89"/>
      <c r="D93" s="89"/>
      <c r="E93" s="234"/>
      <c r="F93" s="234"/>
      <c r="G93" s="234"/>
      <c r="H93" s="66" t="str">
        <f>VLOOKUP(A93,'Tot KPA'!A:H,8,0)</f>
        <v>Other revenue</v>
      </c>
      <c r="I93" s="66">
        <f>VLOOKUP(A93,'Tot KPA'!A:I,9,0)</f>
        <v>0</v>
      </c>
    </row>
    <row r="94" spans="1:11" hidden="1" x14ac:dyDescent="0.35">
      <c r="A94" s="66" t="s">
        <v>2841</v>
      </c>
      <c r="B94" s="89"/>
      <c r="C94" s="89"/>
      <c r="D94" s="89"/>
      <c r="E94" s="234"/>
      <c r="F94" s="234"/>
      <c r="G94" s="234"/>
      <c r="H94" s="66" t="str">
        <f>VLOOKUP(A94,'Tot KPA'!A:H,8,0)</f>
        <v>Other revenue</v>
      </c>
      <c r="I94" s="66">
        <f>VLOOKUP(A94,'Tot KPA'!A:I,9,0)</f>
        <v>0</v>
      </c>
    </row>
    <row r="95" spans="1:11" x14ac:dyDescent="0.35">
      <c r="A95" s="66" t="s">
        <v>2945</v>
      </c>
      <c r="B95" s="89">
        <v>-2000</v>
      </c>
      <c r="C95" s="89">
        <v>-2000</v>
      </c>
      <c r="D95" s="235">
        <v>-800</v>
      </c>
      <c r="E95" s="235">
        <v>-2000</v>
      </c>
      <c r="F95" s="235">
        <v>-2500</v>
      </c>
      <c r="G95" s="235">
        <v>-3000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11" x14ac:dyDescent="0.35">
      <c r="A96" s="66" t="s">
        <v>3521</v>
      </c>
      <c r="B96" s="89">
        <f>-4374900+24700</f>
        <v>-4350200</v>
      </c>
      <c r="C96" s="89">
        <f>-4374900+24700-50000</f>
        <v>-4400200</v>
      </c>
      <c r="D96" s="235">
        <v>-3970222.65</v>
      </c>
      <c r="E96" s="235">
        <f>-4140900+35000</f>
        <v>-4105900</v>
      </c>
      <c r="F96" s="235">
        <v>-4339800</v>
      </c>
      <c r="G96" s="235">
        <v>-4539500</v>
      </c>
      <c r="H96" s="66" t="str">
        <f>VLOOKUP(A96,'Tot KPA'!A:H,8,0)</f>
        <v>Service charges</v>
      </c>
      <c r="I96" s="66" t="str">
        <f>VLOOKUP(A96,'Tot KPA'!A:I,9,0)</f>
        <v>Sanitation</v>
      </c>
      <c r="K96" s="130"/>
    </row>
    <row r="97" spans="1:11" x14ac:dyDescent="0.35">
      <c r="A97" s="66" t="s">
        <v>3522</v>
      </c>
      <c r="B97" s="89"/>
      <c r="C97" s="89"/>
      <c r="D97" s="235">
        <v>-5341.67</v>
      </c>
      <c r="E97" s="235">
        <v>-5600</v>
      </c>
      <c r="F97" s="235">
        <v>-5900</v>
      </c>
      <c r="G97" s="235">
        <v>-6200</v>
      </c>
      <c r="H97" s="66" t="str">
        <f>VLOOKUP(A97,'Tot KPA'!A:H,8,0)</f>
        <v>Service charges</v>
      </c>
      <c r="I97" s="66" t="str">
        <f>VLOOKUP(A97,'Tot KPA'!A:I,9,0)</f>
        <v>Sanitation</v>
      </c>
      <c r="K97" s="130"/>
    </row>
    <row r="98" spans="1:11" x14ac:dyDescent="0.35">
      <c r="A98" s="66" t="s">
        <v>3523</v>
      </c>
      <c r="B98" s="89"/>
      <c r="C98" s="89"/>
      <c r="D98" s="235">
        <v>-495698.88</v>
      </c>
      <c r="E98" s="235">
        <v>-518100</v>
      </c>
      <c r="F98" s="235">
        <v>-542000</v>
      </c>
      <c r="G98" s="235">
        <v>-567000</v>
      </c>
      <c r="H98" s="66" t="str">
        <f>VLOOKUP(A98,'Tot KPA'!A:H,8,0)</f>
        <v>Service charges</v>
      </c>
      <c r="I98" s="66" t="str">
        <f>VLOOKUP(A98,'Tot KPA'!A:I,9,0)</f>
        <v>Sanitation</v>
      </c>
      <c r="K98" s="130"/>
    </row>
    <row r="99" spans="1:11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11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11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11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11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11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11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11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11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11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11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11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11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11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9" ht="15" thickBot="1" x14ac:dyDescent="0.4">
      <c r="A121" s="117" t="s">
        <v>2545</v>
      </c>
      <c r="B121" s="112">
        <f t="shared" ref="B121:G121" si="0">SUM(B2:B119)</f>
        <v>-9453600</v>
      </c>
      <c r="C121" s="112">
        <f t="shared" si="0"/>
        <v>-9303600</v>
      </c>
      <c r="D121" s="112">
        <f t="shared" si="0"/>
        <v>-9428734.7599999998</v>
      </c>
      <c r="E121" s="112">
        <f t="shared" si="0"/>
        <v>-8826700</v>
      </c>
      <c r="F121" s="112">
        <f t="shared" si="0"/>
        <v>-9451600</v>
      </c>
      <c r="G121" s="112">
        <f t="shared" si="0"/>
        <v>-10024900</v>
      </c>
    </row>
    <row r="122" spans="1:9" ht="15" thickTop="1" x14ac:dyDescent="0.35">
      <c r="E122" s="111"/>
      <c r="F122" s="111"/>
      <c r="G122" s="111"/>
    </row>
    <row r="123" spans="1:9" x14ac:dyDescent="0.35">
      <c r="A123" s="117" t="s">
        <v>2701</v>
      </c>
    </row>
    <row r="124" spans="1:9" x14ac:dyDescent="0.35">
      <c r="A124" s="117"/>
    </row>
    <row r="125" spans="1:9" hidden="1" x14ac:dyDescent="0.35">
      <c r="A125" s="66" t="s">
        <v>3438</v>
      </c>
      <c r="B125" s="89">
        <v>0</v>
      </c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>
        <v>0</v>
      </c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>
        <v>0</v>
      </c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>
        <v>0</v>
      </c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>
        <v>0</v>
      </c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>
        <v>0</v>
      </c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>
        <v>0</v>
      </c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>
        <v>0</v>
      </c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0</v>
      </c>
      <c r="C135" s="89">
        <v>0</v>
      </c>
      <c r="D135" s="89">
        <v>0</v>
      </c>
      <c r="E135" s="89">
        <v>0</v>
      </c>
      <c r="F135" s="89">
        <v>0</v>
      </c>
      <c r="G135" s="89">
        <v>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>
        <v>0</v>
      </c>
      <c r="C136" s="89">
        <v>0</v>
      </c>
      <c r="D136" s="89">
        <v>0</v>
      </c>
      <c r="E136" s="89">
        <v>0</v>
      </c>
      <c r="F136" s="89">
        <v>0</v>
      </c>
      <c r="G136" s="89">
        <v>0</v>
      </c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>
        <v>0</v>
      </c>
      <c r="C137" s="89">
        <v>0</v>
      </c>
      <c r="D137" s="89">
        <v>0</v>
      </c>
      <c r="E137" s="89">
        <v>0</v>
      </c>
      <c r="F137" s="89">
        <v>0</v>
      </c>
      <c r="G137" s="89">
        <v>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0</v>
      </c>
      <c r="C138" s="89">
        <v>0</v>
      </c>
      <c r="D138" s="89">
        <v>0</v>
      </c>
      <c r="E138" s="89">
        <v>0</v>
      </c>
      <c r="F138" s="89">
        <v>0</v>
      </c>
      <c r="G138" s="89">
        <v>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0</v>
      </c>
      <c r="C140" s="89">
        <v>0</v>
      </c>
      <c r="D140" s="89">
        <v>0</v>
      </c>
      <c r="E140" s="89">
        <v>0</v>
      </c>
      <c r="F140" s="89">
        <v>0</v>
      </c>
      <c r="G140" s="89">
        <v>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>
        <v>0</v>
      </c>
      <c r="D141" s="89">
        <v>0</v>
      </c>
      <c r="E141" s="89">
        <v>0</v>
      </c>
      <c r="F141" s="89">
        <v>0</v>
      </c>
      <c r="G141" s="89">
        <v>0</v>
      </c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>
        <v>0</v>
      </c>
      <c r="D142" s="89">
        <v>0</v>
      </c>
      <c r="E142" s="89">
        <v>0</v>
      </c>
      <c r="F142" s="89">
        <v>0</v>
      </c>
      <c r="G142" s="89">
        <v>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89">
        <v>0</v>
      </c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>
        <v>0</v>
      </c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>
        <v>0</v>
      </c>
      <c r="D145" s="89">
        <v>0</v>
      </c>
      <c r="E145" s="89">
        <v>0</v>
      </c>
      <c r="F145" s="89">
        <v>0</v>
      </c>
      <c r="G145" s="89">
        <v>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>
        <v>0</v>
      </c>
      <c r="D146" s="89">
        <v>0</v>
      </c>
      <c r="E146" s="89">
        <v>0</v>
      </c>
      <c r="F146" s="89">
        <v>0</v>
      </c>
      <c r="G146" s="89">
        <v>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>
        <v>0</v>
      </c>
      <c r="D147" s="89">
        <v>0</v>
      </c>
      <c r="E147" s="89">
        <v>0</v>
      </c>
      <c r="F147" s="89">
        <v>0</v>
      </c>
      <c r="G147" s="89">
        <v>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>
        <v>0</v>
      </c>
      <c r="D148" s="89">
        <v>0</v>
      </c>
      <c r="E148" s="89">
        <v>0</v>
      </c>
      <c r="F148" s="89">
        <v>0</v>
      </c>
      <c r="G148" s="89">
        <v>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>
        <v>0</v>
      </c>
      <c r="D149" s="89">
        <v>0</v>
      </c>
      <c r="E149" s="89">
        <v>0</v>
      </c>
      <c r="F149" s="89">
        <v>0</v>
      </c>
      <c r="G149" s="89">
        <v>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>
        <v>0</v>
      </c>
      <c r="D150" s="89">
        <v>0</v>
      </c>
      <c r="E150" s="89">
        <v>0</v>
      </c>
      <c r="F150" s="89">
        <v>0</v>
      </c>
      <c r="G150" s="89">
        <v>0</v>
      </c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>
        <v>0</v>
      </c>
      <c r="D151" s="89">
        <v>0</v>
      </c>
      <c r="E151" s="89">
        <v>0</v>
      </c>
      <c r="F151" s="89">
        <v>0</v>
      </c>
      <c r="G151" s="89">
        <v>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>
        <f>700000-45000</f>
        <v>655000</v>
      </c>
      <c r="C152" s="89">
        <f>700000-45000</f>
        <v>655000</v>
      </c>
      <c r="D152" s="235">
        <v>619512.6</v>
      </c>
      <c r="E152" s="235">
        <f>700000-45000</f>
        <v>655000</v>
      </c>
      <c r="F152" s="235">
        <v>780000</v>
      </c>
      <c r="G152" s="235">
        <v>822200</v>
      </c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/>
      <c r="C153" s="89"/>
      <c r="D153" s="89"/>
      <c r="E153" s="234"/>
      <c r="F153" s="234"/>
      <c r="G153" s="234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234"/>
      <c r="F154" s="234"/>
      <c r="G154" s="234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idden="1" x14ac:dyDescent="0.35">
      <c r="A155" s="66" t="s">
        <v>3488</v>
      </c>
      <c r="B155" s="89"/>
      <c r="C155" s="89"/>
      <c r="D155" s="89"/>
      <c r="E155" s="234"/>
      <c r="F155" s="234"/>
      <c r="G155" s="234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234"/>
      <c r="F156" s="234"/>
      <c r="G156" s="234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idden="1" x14ac:dyDescent="0.35">
      <c r="A157" s="66" t="s">
        <v>3012</v>
      </c>
      <c r="B157" s="89"/>
      <c r="C157" s="89"/>
      <c r="D157" s="89"/>
      <c r="E157" s="234"/>
      <c r="F157" s="234"/>
      <c r="G157" s="234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idden="1" x14ac:dyDescent="0.35">
      <c r="A158" s="66" t="s">
        <v>3010</v>
      </c>
      <c r="B158" s="89"/>
      <c r="C158" s="89"/>
      <c r="D158" s="89"/>
      <c r="E158" s="234"/>
      <c r="F158" s="234"/>
      <c r="G158" s="234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idden="1" x14ac:dyDescent="0.35">
      <c r="A159" s="66" t="s">
        <v>3013</v>
      </c>
      <c r="B159" s="89"/>
      <c r="C159" s="89"/>
      <c r="D159" s="89"/>
      <c r="E159" s="234"/>
      <c r="F159" s="234"/>
      <c r="G159" s="234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idden="1" x14ac:dyDescent="0.35">
      <c r="A160" s="66" t="s">
        <v>3011</v>
      </c>
      <c r="B160" s="89"/>
      <c r="C160" s="89"/>
      <c r="D160" s="89"/>
      <c r="E160" s="234"/>
      <c r="F160" s="234"/>
      <c r="G160" s="234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idden="1" x14ac:dyDescent="0.35">
      <c r="A161" s="66" t="s">
        <v>2848</v>
      </c>
      <c r="B161" s="89"/>
      <c r="C161" s="89"/>
      <c r="D161" s="89"/>
      <c r="E161" s="234"/>
      <c r="F161" s="234"/>
      <c r="G161" s="234"/>
      <c r="H161" s="66" t="str">
        <f>VLOOKUP(A161,'Tot KPA'!A:H,8,0)</f>
        <v>Other expenditure</v>
      </c>
      <c r="I161" s="66">
        <f>VLOOKUP(A161,'Tot KPA'!A:I,9,0)</f>
        <v>0</v>
      </c>
    </row>
    <row r="162" spans="1:9" hidden="1" x14ac:dyDescent="0.35">
      <c r="A162" s="66" t="s">
        <v>3005</v>
      </c>
      <c r="B162" s="89"/>
      <c r="C162" s="89"/>
      <c r="D162" s="89"/>
      <c r="E162" s="234"/>
      <c r="F162" s="234"/>
      <c r="G162" s="234"/>
      <c r="H162" s="66" t="str">
        <f>VLOOKUP(A162,'Tot KPA'!A:H,8,0)</f>
        <v>Debt impairment</v>
      </c>
      <c r="I162" s="66">
        <f>VLOOKUP(A162,'Tot KPA'!A:I,9,0)</f>
        <v>0</v>
      </c>
    </row>
    <row r="163" spans="1:9" hidden="1" x14ac:dyDescent="0.35">
      <c r="A163" s="66" t="s">
        <v>3009</v>
      </c>
      <c r="B163" s="89"/>
      <c r="C163" s="89"/>
      <c r="D163" s="89"/>
      <c r="E163" s="234"/>
      <c r="F163" s="234"/>
      <c r="G163" s="234"/>
      <c r="H163" s="66" t="str">
        <f>VLOOKUP(A163,'Tot KPA'!A:H,8,0)</f>
        <v>Debt impairment</v>
      </c>
      <c r="I163" s="66">
        <f>VLOOKUP(A163,'Tot KPA'!A:I,9,0)</f>
        <v>0</v>
      </c>
    </row>
    <row r="164" spans="1:9" ht="14.25" hidden="1" customHeight="1" x14ac:dyDescent="0.35">
      <c r="A164" s="66" t="s">
        <v>3004</v>
      </c>
      <c r="B164" s="89"/>
      <c r="C164" s="89"/>
      <c r="D164" s="89"/>
      <c r="E164" s="234"/>
      <c r="F164" s="234"/>
      <c r="G164" s="234"/>
      <c r="H164" s="66" t="str">
        <f>VLOOKUP(A164,'Tot KPA'!A:H,8,0)</f>
        <v>Debt impairment</v>
      </c>
      <c r="I164" s="66">
        <f>VLOOKUP(A164,'Tot KPA'!A:I,9,0)</f>
        <v>0</v>
      </c>
    </row>
    <row r="165" spans="1:9" hidden="1" x14ac:dyDescent="0.35">
      <c r="A165" s="66" t="s">
        <v>3008</v>
      </c>
      <c r="B165" s="89"/>
      <c r="C165" s="89"/>
      <c r="D165" s="89"/>
      <c r="E165" s="234"/>
      <c r="F165" s="234"/>
      <c r="G165" s="234"/>
      <c r="H165" s="66" t="str">
        <f>VLOOKUP(A165,'Tot KPA'!A:H,8,0)</f>
        <v>Debt impairment</v>
      </c>
      <c r="I165" s="66">
        <f>VLOOKUP(A165,'Tot KPA'!A:I,9,0)</f>
        <v>0</v>
      </c>
    </row>
    <row r="166" spans="1:9" hidden="1" x14ac:dyDescent="0.35">
      <c r="A166" s="66" t="s">
        <v>3007</v>
      </c>
      <c r="B166" s="89">
        <v>626900</v>
      </c>
      <c r="C166" s="89">
        <v>626900</v>
      </c>
      <c r="D166" s="235">
        <v>798000</v>
      </c>
      <c r="E166" s="235">
        <v>850000</v>
      </c>
      <c r="F166" s="235">
        <f>+E166*1.046</f>
        <v>889100</v>
      </c>
      <c r="G166" s="235">
        <v>930000</v>
      </c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234"/>
      <c r="F167" s="234"/>
      <c r="G167" s="234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234"/>
      <c r="F168" s="234"/>
      <c r="G168" s="234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234"/>
      <c r="F169" s="234"/>
      <c r="G169" s="234"/>
      <c r="H169" s="66" t="str">
        <f>VLOOKUP(A169,'Tot KPA'!A:H,8,0)</f>
        <v>Other expenditure</v>
      </c>
      <c r="I169" s="66">
        <f>VLOOKUP(A169,'Tot KPA'!A:I,9,0)</f>
        <v>0</v>
      </c>
    </row>
    <row r="170" spans="1:9" x14ac:dyDescent="0.35">
      <c r="A170" s="66" t="s">
        <v>2849</v>
      </c>
      <c r="B170" s="89">
        <v>100000</v>
      </c>
      <c r="C170" s="89">
        <v>100000</v>
      </c>
      <c r="D170" s="235">
        <v>1250000</v>
      </c>
      <c r="E170" s="235">
        <v>1312000</v>
      </c>
      <c r="F170" s="235">
        <v>1312000</v>
      </c>
      <c r="G170" s="235">
        <v>1312000</v>
      </c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234"/>
      <c r="F171" s="234"/>
      <c r="G171" s="234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234"/>
      <c r="F172" s="234"/>
      <c r="G172" s="234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234"/>
      <c r="F173" s="234"/>
      <c r="G173" s="234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234"/>
      <c r="F174" s="234"/>
      <c r="G174" s="234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234"/>
      <c r="F175" s="234"/>
      <c r="G175" s="234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234"/>
      <c r="F176" s="234"/>
      <c r="G176" s="234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234"/>
      <c r="F177" s="234"/>
      <c r="G177" s="234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234"/>
      <c r="F178" s="234"/>
      <c r="G178" s="234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234"/>
      <c r="F179" s="234"/>
      <c r="G179" s="234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234"/>
      <c r="F180" s="234"/>
      <c r="G180" s="234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234"/>
      <c r="F181" s="234"/>
      <c r="G181" s="234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234"/>
      <c r="F182" s="234"/>
      <c r="G182" s="234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700</v>
      </c>
      <c r="C183" s="89">
        <v>700</v>
      </c>
      <c r="D183" s="235">
        <v>687.6</v>
      </c>
      <c r="E183" s="235">
        <v>900</v>
      </c>
      <c r="F183" s="235">
        <v>1000</v>
      </c>
      <c r="G183" s="235">
        <v>1100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96600</v>
      </c>
      <c r="C184" s="89">
        <v>96600</v>
      </c>
      <c r="D184" s="235">
        <v>95417.95</v>
      </c>
      <c r="E184" s="235">
        <v>89700</v>
      </c>
      <c r="F184" s="235">
        <v>95600</v>
      </c>
      <c r="G184" s="235">
        <v>101900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/>
      <c r="C185" s="89"/>
      <c r="D185" s="235"/>
      <c r="E185" s="234"/>
      <c r="F185" s="234"/>
      <c r="G185" s="234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4500</v>
      </c>
      <c r="C186" s="89">
        <v>4500</v>
      </c>
      <c r="D186" s="235">
        <v>4492</v>
      </c>
      <c r="E186" s="235">
        <v>4800</v>
      </c>
      <c r="F186" s="235">
        <v>5200</v>
      </c>
      <c r="G186" s="235">
        <v>5600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x14ac:dyDescent="0.35">
      <c r="A190" s="66" t="s">
        <v>2904</v>
      </c>
      <c r="B190" s="89">
        <f>70000-23300</f>
        <v>46700</v>
      </c>
      <c r="C190" s="89">
        <f>70000-23300</f>
        <v>46700</v>
      </c>
      <c r="D190" s="235">
        <v>39455.08</v>
      </c>
      <c r="E190" s="235">
        <f>70000-23300</f>
        <v>46700</v>
      </c>
      <c r="F190" s="235">
        <v>73900</v>
      </c>
      <c r="G190" s="235">
        <v>78000</v>
      </c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153900</v>
      </c>
      <c r="C191" s="89">
        <v>153900</v>
      </c>
      <c r="D191" s="235">
        <v>156912.73000000001</v>
      </c>
      <c r="E191" s="235">
        <v>167800</v>
      </c>
      <c r="F191" s="235">
        <v>179000</v>
      </c>
      <c r="G191" s="235">
        <v>190700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x14ac:dyDescent="0.35">
      <c r="A192" s="66" t="s">
        <v>3039</v>
      </c>
      <c r="B192" s="89"/>
      <c r="C192" s="89"/>
      <c r="D192" s="235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1159000</v>
      </c>
      <c r="C193" s="89">
        <v>1159000</v>
      </c>
      <c r="D193" s="235">
        <v>1187153.21</v>
      </c>
      <c r="E193" s="235">
        <v>1075000</v>
      </c>
      <c r="F193" s="235">
        <v>1144900</v>
      </c>
      <c r="G193" s="235">
        <v>1220000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66"/>
      <c r="C196" s="66"/>
      <c r="D196" s="89"/>
      <c r="E196" s="237"/>
      <c r="F196" s="237"/>
      <c r="G196" s="237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9400</v>
      </c>
      <c r="C198" s="89">
        <v>9400</v>
      </c>
      <c r="D198" s="235">
        <v>9512</v>
      </c>
      <c r="E198" s="235">
        <v>9700</v>
      </c>
      <c r="F198" s="235">
        <v>10400</v>
      </c>
      <c r="G198" s="235">
        <v>11100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234"/>
      <c r="F199" s="234"/>
      <c r="G199" s="234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234"/>
      <c r="F200" s="234"/>
      <c r="G200" s="234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234"/>
      <c r="F201" s="234"/>
      <c r="G201" s="234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234"/>
      <c r="F202" s="234"/>
      <c r="G202" s="234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234"/>
      <c r="F203" s="234"/>
      <c r="G203" s="234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234"/>
      <c r="F204" s="234"/>
      <c r="G204" s="234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234"/>
      <c r="F205" s="234"/>
      <c r="G205" s="234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234"/>
      <c r="F206" s="234"/>
      <c r="G206" s="234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234"/>
      <c r="F207" s="234"/>
      <c r="G207" s="234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234"/>
      <c r="F208" s="234"/>
      <c r="G208" s="234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234"/>
      <c r="F209" s="234"/>
      <c r="G209" s="234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234"/>
      <c r="F210" s="234"/>
      <c r="G210" s="234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234"/>
      <c r="F211" s="234"/>
      <c r="G211" s="234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234"/>
      <c r="F212" s="234"/>
      <c r="G212" s="234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234"/>
      <c r="F213" s="234"/>
      <c r="G213" s="234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f>158000*1.05</f>
        <v>165900</v>
      </c>
      <c r="C214" s="89">
        <f>158000*1.05</f>
        <v>165900</v>
      </c>
      <c r="D214" s="235">
        <v>159125.21</v>
      </c>
      <c r="E214" s="235">
        <f>158000*1.05</f>
        <v>165900</v>
      </c>
      <c r="F214" s="235">
        <v>175000</v>
      </c>
      <c r="G214" s="235">
        <v>184600</v>
      </c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234"/>
      <c r="F215" s="234"/>
      <c r="G215" s="234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234"/>
      <c r="F216" s="234"/>
      <c r="G216" s="234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234"/>
      <c r="F217" s="234"/>
      <c r="G217" s="234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234"/>
      <c r="F218" s="234"/>
      <c r="G218" s="234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234"/>
      <c r="F219" s="234"/>
      <c r="G219" s="234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234"/>
      <c r="F220" s="234"/>
      <c r="G220" s="234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234"/>
      <c r="F221" s="234"/>
      <c r="G221" s="234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235">
        <v>10250</v>
      </c>
      <c r="E222" s="235">
        <v>10900</v>
      </c>
      <c r="F222" s="235">
        <v>11500</v>
      </c>
      <c r="G222" s="235">
        <v>12100</v>
      </c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234"/>
      <c r="F223" s="234"/>
      <c r="G223" s="234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234"/>
      <c r="F224" s="234"/>
      <c r="G224" s="234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234"/>
      <c r="F225" s="234"/>
      <c r="G225" s="234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>
        <v>80000</v>
      </c>
      <c r="C226" s="89">
        <v>80000</v>
      </c>
      <c r="D226" s="235">
        <v>65417.279999999999</v>
      </c>
      <c r="E226" s="235">
        <v>80000</v>
      </c>
      <c r="F226" s="235">
        <v>84300</v>
      </c>
      <c r="G226" s="235">
        <v>88900</v>
      </c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>
        <v>40000</v>
      </c>
      <c r="C227" s="89">
        <v>40000</v>
      </c>
      <c r="D227" s="235">
        <v>32151.49</v>
      </c>
      <c r="E227" s="235">
        <v>40000</v>
      </c>
      <c r="F227" s="235">
        <v>42200</v>
      </c>
      <c r="G227" s="235">
        <v>44500</v>
      </c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5"/>
      <c r="F228" s="235"/>
      <c r="G228" s="235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235"/>
      <c r="F229" s="235"/>
      <c r="G229" s="235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235"/>
      <c r="F230" s="235"/>
      <c r="G230" s="235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235"/>
      <c r="F231" s="235"/>
      <c r="G231" s="235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235"/>
      <c r="F232" s="235"/>
      <c r="G232" s="235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235"/>
      <c r="F233" s="235"/>
      <c r="G233" s="235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235"/>
      <c r="F234" s="235"/>
      <c r="G234" s="235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235"/>
      <c r="F235" s="235"/>
      <c r="G235" s="235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235"/>
      <c r="F236" s="235"/>
      <c r="G236" s="235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>
        <v>150000</v>
      </c>
      <c r="C237" s="89">
        <v>150000</v>
      </c>
      <c r="D237" s="235">
        <v>186544.83</v>
      </c>
      <c r="E237" s="235">
        <v>150000</v>
      </c>
      <c r="F237" s="235">
        <f>+E237*1.054</f>
        <v>158100</v>
      </c>
      <c r="G237" s="235">
        <v>166700</v>
      </c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234"/>
      <c r="F238" s="234"/>
      <c r="G238" s="234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234"/>
      <c r="F239" s="234"/>
      <c r="G239" s="234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234"/>
      <c r="F240" s="234"/>
      <c r="G240" s="234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234"/>
      <c r="F241" s="234"/>
      <c r="G241" s="234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234"/>
      <c r="F242" s="234"/>
      <c r="G242" s="234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234"/>
      <c r="F243" s="234"/>
      <c r="G243" s="234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234"/>
      <c r="F244" s="234"/>
      <c r="G244" s="234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234"/>
      <c r="F245" s="234"/>
      <c r="G245" s="234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234"/>
      <c r="F246" s="234"/>
      <c r="G246" s="234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234"/>
      <c r="F247" s="234"/>
      <c r="G247" s="234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234"/>
      <c r="F248" s="234"/>
      <c r="G248" s="234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234"/>
      <c r="F249" s="234"/>
      <c r="G249" s="234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234"/>
      <c r="F250" s="234"/>
      <c r="G250" s="234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234"/>
      <c r="F251" s="234"/>
      <c r="G251" s="234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234"/>
      <c r="F252" s="234"/>
      <c r="G252" s="234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234"/>
      <c r="F253" s="234"/>
      <c r="G253" s="234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234"/>
      <c r="F254" s="234"/>
      <c r="G254" s="234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234"/>
      <c r="F255" s="234"/>
      <c r="G255" s="234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234"/>
      <c r="F256" s="234"/>
      <c r="G256" s="234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234"/>
      <c r="F257" s="234"/>
      <c r="G257" s="234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234"/>
      <c r="F258" s="234"/>
      <c r="G258" s="234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234"/>
      <c r="F259" s="234"/>
      <c r="G259" s="234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234"/>
      <c r="F260" s="234"/>
      <c r="G260" s="234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234"/>
      <c r="F261" s="234"/>
      <c r="G261" s="234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234"/>
      <c r="F262" s="234"/>
      <c r="G262" s="234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234"/>
      <c r="F263" s="234"/>
      <c r="G263" s="234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234"/>
      <c r="F264" s="234"/>
      <c r="G264" s="234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234"/>
      <c r="F265" s="234"/>
      <c r="G265" s="234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234"/>
      <c r="F266" s="234"/>
      <c r="G266" s="234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234"/>
      <c r="F267" s="234"/>
      <c r="G267" s="234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234"/>
      <c r="F268" s="234"/>
      <c r="G268" s="234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234"/>
      <c r="F269" s="234"/>
      <c r="G269" s="234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234"/>
      <c r="F270" s="234"/>
      <c r="G270" s="234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234"/>
      <c r="F271" s="234"/>
      <c r="G271" s="234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v>11600</v>
      </c>
      <c r="C272" s="89">
        <v>11600</v>
      </c>
      <c r="D272" s="235">
        <v>9987.6299999999992</v>
      </c>
      <c r="E272" s="235">
        <v>10800</v>
      </c>
      <c r="F272" s="235">
        <v>11500</v>
      </c>
      <c r="G272" s="235">
        <v>12300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/>
      <c r="C273" s="89"/>
      <c r="D273" s="235"/>
      <c r="E273" s="235"/>
      <c r="F273" s="235"/>
      <c r="G273" s="235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/>
      <c r="C274" s="89"/>
      <c r="D274" s="235"/>
      <c r="E274" s="235"/>
      <c r="F274" s="235"/>
      <c r="G274" s="235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235"/>
      <c r="E275" s="235"/>
      <c r="F275" s="235"/>
      <c r="G275" s="235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/>
      <c r="C276" s="89"/>
      <c r="D276" s="235"/>
      <c r="E276" s="235"/>
      <c r="F276" s="235"/>
      <c r="G276" s="235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/>
      <c r="C277" s="89"/>
      <c r="D277" s="235"/>
      <c r="E277" s="235"/>
      <c r="F277" s="235"/>
      <c r="G277" s="235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/>
      <c r="C278" s="89"/>
      <c r="D278" s="235"/>
      <c r="E278" s="235"/>
      <c r="F278" s="235"/>
      <c r="G278" s="235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/>
      <c r="C279" s="89"/>
      <c r="D279" s="235"/>
      <c r="E279" s="235"/>
      <c r="F279" s="235"/>
      <c r="G279" s="235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235"/>
      <c r="E280" s="235"/>
      <c r="F280" s="235"/>
      <c r="G280" s="235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/>
      <c r="C281" s="89"/>
      <c r="D281" s="235"/>
      <c r="E281" s="235"/>
      <c r="F281" s="235"/>
      <c r="G281" s="235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235">
        <v>0</v>
      </c>
      <c r="E282" s="235">
        <v>0</v>
      </c>
      <c r="F282" s="235">
        <v>0</v>
      </c>
      <c r="G282" s="235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235">
        <v>0</v>
      </c>
      <c r="E283" s="235">
        <v>0</v>
      </c>
      <c r="F283" s="235">
        <v>0</v>
      </c>
      <c r="G283" s="235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235">
        <v>0</v>
      </c>
      <c r="E284" s="235">
        <v>0</v>
      </c>
      <c r="F284" s="235">
        <v>0</v>
      </c>
      <c r="G284" s="235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12000</v>
      </c>
      <c r="C285" s="89">
        <v>12000</v>
      </c>
      <c r="D285" s="235">
        <v>10540</v>
      </c>
      <c r="E285" s="235">
        <v>12000</v>
      </c>
      <c r="F285" s="235">
        <v>14000</v>
      </c>
      <c r="G285" s="235">
        <v>16000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3312200</v>
      </c>
      <c r="C290" s="112">
        <f t="shared" si="1"/>
        <v>3312200</v>
      </c>
      <c r="D290" s="112">
        <f t="shared" si="1"/>
        <v>4635159.6100000013</v>
      </c>
      <c r="E290" s="112">
        <f t="shared" si="1"/>
        <v>4681200</v>
      </c>
      <c r="F290" s="112">
        <f t="shared" si="1"/>
        <v>4987700</v>
      </c>
      <c r="G290" s="112">
        <f t="shared" si="1"/>
        <v>5197700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-6141400</v>
      </c>
      <c r="C292" s="112">
        <f t="shared" si="2"/>
        <v>-5991400</v>
      </c>
      <c r="D292" s="112">
        <f t="shared" si="2"/>
        <v>-4793575.1499999985</v>
      </c>
      <c r="E292" s="112">
        <f t="shared" si="2"/>
        <v>-4145500</v>
      </c>
      <c r="F292" s="112">
        <f t="shared" si="2"/>
        <v>-4463900</v>
      </c>
      <c r="G292" s="112">
        <f t="shared" si="2"/>
        <v>-4827200</v>
      </c>
    </row>
    <row r="293" spans="1:7" ht="15" thickTop="1" x14ac:dyDescent="0.35"/>
    <row r="294" spans="1:7" x14ac:dyDescent="0.35">
      <c r="E294" s="111"/>
      <c r="F294" s="111"/>
      <c r="G294" s="111"/>
    </row>
    <row r="297" spans="1:7" x14ac:dyDescent="0.35">
      <c r="E297" s="130"/>
      <c r="F297" s="130"/>
      <c r="G297" s="130"/>
    </row>
  </sheetData>
  <autoFilter ref="G124:H288" xr:uid="{4BD988CD-4AF6-4E4F-A48B-FD90E69D3F4E}">
    <filterColumn colId="1">
      <filters>
        <filter val="Depreciation and asset impairment"/>
        <filter val="Employee related cost"/>
      </filters>
    </filterColumn>
  </autoFilter>
  <sortState xmlns:xlrd2="http://schemas.microsoft.com/office/spreadsheetml/2017/richdata2" ref="A125:I288">
    <sortCondition ref="A125:A288"/>
  </sortState>
  <pageMargins left="0.7" right="0.7" top="0.75" bottom="0.75" header="0.3" footer="0.3"/>
  <pageSetup scale="1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filterMode="1">
    <tabColor theme="3"/>
    <pageSetUpPr fitToPage="1"/>
  </sheetPr>
  <dimension ref="A1:L303"/>
  <sheetViews>
    <sheetView topLeftCell="A123" zoomScale="69" zoomScaleNormal="69" workbookViewId="0">
      <selection activeCell="F165" sqref="F165"/>
    </sheetView>
  </sheetViews>
  <sheetFormatPr defaultColWidth="9.1796875" defaultRowHeight="14.5" x14ac:dyDescent="0.35"/>
  <cols>
    <col min="1" max="1" width="61.36328125" style="113" customWidth="1"/>
    <col min="2" max="2" width="24.7265625" style="113" bestFit="1" customWidth="1"/>
    <col min="3" max="3" width="19.54296875" style="111" customWidth="1"/>
    <col min="4" max="4" width="19.54296875" style="111" bestFit="1" customWidth="1"/>
    <col min="5" max="6" width="19.54296875" style="113" bestFit="1" customWidth="1"/>
    <col min="7" max="7" width="21.453125" style="113" customWidth="1"/>
    <col min="8" max="8" width="36.54296875" style="113" customWidth="1"/>
    <col min="9" max="9" width="37.26953125" style="113" customWidth="1"/>
    <col min="10" max="11" width="9.1796875" style="113"/>
    <col min="12" max="12" width="15.453125" style="113" bestFit="1" customWidth="1"/>
    <col min="13" max="16384" width="9.1796875" style="113"/>
  </cols>
  <sheetData>
    <row r="1" spans="1:9" ht="15" thickBot="1" x14ac:dyDescent="0.4">
      <c r="F1" s="118">
        <v>17</v>
      </c>
      <c r="G1" s="118"/>
    </row>
    <row r="2" spans="1:9" ht="15" thickBot="1" x14ac:dyDescent="0.4">
      <c r="A2" s="120" t="s">
        <v>2815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17" t="s">
        <v>2702</v>
      </c>
      <c r="B4" s="111"/>
      <c r="E4" s="111"/>
      <c r="F4" s="242"/>
      <c r="G4" s="116"/>
    </row>
    <row r="5" spans="1:9" x14ac:dyDescent="0.35">
      <c r="A5" s="117"/>
      <c r="B5" s="111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x14ac:dyDescent="0.35">
      <c r="A25" s="66" t="s">
        <v>2825</v>
      </c>
      <c r="B25" s="89">
        <f>-5062700-500000-165000</f>
        <v>-5727700</v>
      </c>
      <c r="C25" s="89">
        <f>-5062700-500000-165000</f>
        <v>-5727700</v>
      </c>
      <c r="D25" s="235">
        <v>-5727700</v>
      </c>
      <c r="E25" s="235">
        <v>-4828400</v>
      </c>
      <c r="F25" s="235">
        <v>-5223800</v>
      </c>
      <c r="G25" s="235">
        <v>-5602200</v>
      </c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235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235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235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235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x14ac:dyDescent="0.35">
      <c r="A30" s="66" t="s">
        <v>3002</v>
      </c>
      <c r="B30" s="89">
        <v>-600</v>
      </c>
      <c r="C30" s="89">
        <v>-600</v>
      </c>
      <c r="D30" s="235">
        <v>-1800</v>
      </c>
      <c r="E30" s="235">
        <v>-2000</v>
      </c>
      <c r="F30" s="235">
        <v>-2000</v>
      </c>
      <c r="G30" s="235">
        <v>-2000</v>
      </c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x14ac:dyDescent="0.35">
      <c r="A40" s="66" t="s">
        <v>3518</v>
      </c>
      <c r="B40" s="89">
        <v>1082500</v>
      </c>
      <c r="C40" s="89">
        <v>1082500</v>
      </c>
      <c r="D40" s="235">
        <v>1151560.8500000001</v>
      </c>
      <c r="E40" s="235">
        <v>1203400</v>
      </c>
      <c r="F40" s="235">
        <v>1258800</v>
      </c>
      <c r="G40" s="235">
        <v>1316800</v>
      </c>
      <c r="H40" s="66" t="str">
        <f>VLOOKUP(A40,'Tot KPA'!A:H,8,0)</f>
        <v>Service charges</v>
      </c>
      <c r="I40" s="66" t="str">
        <f>VLOOKUP(A40,'Tot KPA'!A:I,9,0)</f>
        <v>Refuse</v>
      </c>
    </row>
    <row r="41" spans="1:9" x14ac:dyDescent="0.35">
      <c r="A41" s="66" t="s">
        <v>3517</v>
      </c>
      <c r="B41" s="89"/>
      <c r="C41" s="89"/>
      <c r="D41" s="235">
        <v>1105.28</v>
      </c>
      <c r="E41" s="235">
        <v>1200</v>
      </c>
      <c r="F41" s="235">
        <v>1300</v>
      </c>
      <c r="G41" s="235">
        <v>1300</v>
      </c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234"/>
      <c r="F42" s="234"/>
      <c r="G42" s="234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234"/>
      <c r="F43" s="234"/>
      <c r="G43" s="234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234"/>
      <c r="F44" s="234"/>
      <c r="G44" s="234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234"/>
      <c r="F45" s="234"/>
      <c r="G45" s="234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234"/>
      <c r="F46" s="234"/>
      <c r="G46" s="234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234"/>
      <c r="F47" s="234"/>
      <c r="G47" s="234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234"/>
      <c r="F48" s="234"/>
      <c r="G48" s="234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234"/>
      <c r="F49" s="234"/>
      <c r="G49" s="234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234"/>
      <c r="F50" s="234"/>
      <c r="G50" s="234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234"/>
      <c r="F51" s="234"/>
      <c r="G51" s="234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234"/>
      <c r="F52" s="234"/>
      <c r="G52" s="234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x14ac:dyDescent="0.35">
      <c r="A53" s="66" t="s">
        <v>2966</v>
      </c>
      <c r="B53" s="89">
        <v>-698000</v>
      </c>
      <c r="C53" s="89">
        <v>-498000</v>
      </c>
      <c r="D53" s="235">
        <v>-227036.18</v>
      </c>
      <c r="E53" s="235">
        <v>-237300</v>
      </c>
      <c r="F53" s="235">
        <v>-248300</v>
      </c>
      <c r="G53" s="235">
        <v>-259800</v>
      </c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234"/>
      <c r="F54" s="234"/>
      <c r="G54" s="234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234"/>
      <c r="F55" s="234"/>
      <c r="G55" s="234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234"/>
      <c r="F56" s="234"/>
      <c r="G56" s="234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234"/>
      <c r="F57" s="234"/>
      <c r="G57" s="234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234"/>
      <c r="F58" s="234"/>
      <c r="G58" s="234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234"/>
      <c r="F59" s="234"/>
      <c r="G59" s="234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234"/>
      <c r="F60" s="234"/>
      <c r="G60" s="234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234"/>
      <c r="F61" s="234"/>
      <c r="G61" s="234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234"/>
      <c r="F62" s="234"/>
      <c r="G62" s="234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234"/>
      <c r="F63" s="234"/>
      <c r="G63" s="234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234"/>
      <c r="F64" s="234"/>
      <c r="G64" s="234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234"/>
      <c r="F65" s="234"/>
      <c r="G65" s="234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234"/>
      <c r="F66" s="234"/>
      <c r="G66" s="234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234"/>
      <c r="F67" s="234"/>
      <c r="G67" s="234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234"/>
      <c r="F68" s="234"/>
      <c r="G68" s="234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234"/>
      <c r="F69" s="234"/>
      <c r="G69" s="234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234"/>
      <c r="F70" s="234"/>
      <c r="G70" s="234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234"/>
      <c r="F71" s="234"/>
      <c r="G71" s="234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234"/>
      <c r="F72" s="234"/>
      <c r="G72" s="234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234"/>
      <c r="F73" s="234"/>
      <c r="G73" s="234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234"/>
      <c r="F74" s="234"/>
      <c r="G74" s="234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234"/>
      <c r="F75" s="234"/>
      <c r="G75" s="234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234"/>
      <c r="F76" s="234"/>
      <c r="G76" s="234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234"/>
      <c r="F77" s="234"/>
      <c r="G77" s="234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234"/>
      <c r="F78" s="234"/>
      <c r="G78" s="234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234"/>
      <c r="F79" s="234"/>
      <c r="G79" s="234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234"/>
      <c r="F80" s="234"/>
      <c r="G80" s="234"/>
      <c r="H80" s="66" t="str">
        <f>VLOOKUP(A80,'Tot KPA'!A:H,8,0)</f>
        <v>Property rates</v>
      </c>
      <c r="I80" s="66">
        <f>VLOOKUP(A80,'Tot KPA'!A:I,9,0)</f>
        <v>0</v>
      </c>
    </row>
    <row r="81" spans="1:12" hidden="1" x14ac:dyDescent="0.35">
      <c r="A81" s="66" t="s">
        <v>2947</v>
      </c>
      <c r="B81" s="89"/>
      <c r="C81" s="89"/>
      <c r="D81" s="89"/>
      <c r="E81" s="234"/>
      <c r="F81" s="234"/>
      <c r="G81" s="234"/>
      <c r="H81" s="66" t="str">
        <f>VLOOKUP(A81,'Tot KPA'!A:H,8,0)</f>
        <v>Property rates</v>
      </c>
      <c r="I81" s="66" t="str">
        <f>VLOOKUP(A81,'Tot KPA'!A:I,9,0)</f>
        <v>Rebates</v>
      </c>
    </row>
    <row r="82" spans="1:12" hidden="1" x14ac:dyDescent="0.35">
      <c r="A82" s="66" t="s">
        <v>3070</v>
      </c>
      <c r="B82" s="89"/>
      <c r="C82" s="89"/>
      <c r="D82" s="89"/>
      <c r="E82" s="234"/>
      <c r="F82" s="234"/>
      <c r="G82" s="234"/>
      <c r="H82" s="66" t="str">
        <f>VLOOKUP(A82,'Tot KPA'!A:H,8,0)</f>
        <v>Property rates</v>
      </c>
      <c r="I82" s="66" t="str">
        <f>VLOOKUP(A82,'Tot KPA'!A:I,9,0)</f>
        <v>Rebates</v>
      </c>
    </row>
    <row r="83" spans="1:12" hidden="1" x14ac:dyDescent="0.35">
      <c r="A83" s="66" t="s">
        <v>3514</v>
      </c>
      <c r="B83" s="89"/>
      <c r="C83" s="89"/>
      <c r="D83" s="89"/>
      <c r="E83" s="234"/>
      <c r="F83" s="234"/>
      <c r="G83" s="234"/>
      <c r="H83" s="66"/>
      <c r="I83" s="66"/>
    </row>
    <row r="84" spans="1:12" hidden="1" x14ac:dyDescent="0.35">
      <c r="A84" s="66" t="s">
        <v>3069</v>
      </c>
      <c r="B84" s="89"/>
      <c r="C84" s="89"/>
      <c r="D84" s="89"/>
      <c r="E84" s="234"/>
      <c r="F84" s="234"/>
      <c r="G84" s="234"/>
      <c r="H84" s="66" t="str">
        <f>VLOOKUP(A84,'Tot KPA'!A:H,8,0)</f>
        <v>Property rates</v>
      </c>
      <c r="I84" s="66" t="str">
        <f>VLOOKUP(A84,'Tot KPA'!A:I,9,0)</f>
        <v>Rebates</v>
      </c>
    </row>
    <row r="85" spans="1:12" hidden="1" x14ac:dyDescent="0.35">
      <c r="A85" s="66" t="s">
        <v>2946</v>
      </c>
      <c r="B85" s="89"/>
      <c r="C85" s="89"/>
      <c r="D85" s="89"/>
      <c r="E85" s="234"/>
      <c r="F85" s="234"/>
      <c r="G85" s="234"/>
      <c r="H85" s="66" t="str">
        <f>VLOOKUP(A85,'Tot KPA'!A:H,8,0)</f>
        <v>Property rates</v>
      </c>
      <c r="I85" s="66" t="str">
        <f>VLOOKUP(A85,'Tot KPA'!A:I,9,0)</f>
        <v>Rebates</v>
      </c>
    </row>
    <row r="86" spans="1:12" hidden="1" x14ac:dyDescent="0.35">
      <c r="A86" s="66" t="s">
        <v>2975</v>
      </c>
      <c r="B86" s="89"/>
      <c r="C86" s="89"/>
      <c r="D86" s="89"/>
      <c r="E86" s="234"/>
      <c r="F86" s="234"/>
      <c r="G86" s="234"/>
      <c r="H86" s="66" t="str">
        <f>VLOOKUP(A86,'Tot KPA'!A:H,8,0)</f>
        <v>Other revenue</v>
      </c>
      <c r="I86" s="66">
        <f>VLOOKUP(A86,'Tot KPA'!A:I,9,0)</f>
        <v>0</v>
      </c>
    </row>
    <row r="87" spans="1:12" x14ac:dyDescent="0.35">
      <c r="A87" s="66" t="s">
        <v>3516</v>
      </c>
      <c r="B87" s="89">
        <f>-3530500+20000</f>
        <v>-3510500</v>
      </c>
      <c r="C87" s="89">
        <f>-3530500+20000</f>
        <v>-3510500</v>
      </c>
      <c r="D87" s="235">
        <f>-3498194.27+42236.28</f>
        <v>-3455957.99</v>
      </c>
      <c r="E87" s="235">
        <f>-3611500-86000</f>
        <v>-3697500</v>
      </c>
      <c r="F87" s="235">
        <v>-3777700</v>
      </c>
      <c r="G87" s="235">
        <v>-3951500</v>
      </c>
      <c r="H87" s="66" t="str">
        <f>VLOOKUP(A87,'Tot KPA'!A:H,8,0)</f>
        <v>Service charges</v>
      </c>
      <c r="I87" s="66" t="str">
        <f>VLOOKUP(A87,'Tot KPA'!A:I,9,0)</f>
        <v>Refuse</v>
      </c>
      <c r="L87" s="130"/>
    </row>
    <row r="88" spans="1:12" x14ac:dyDescent="0.35">
      <c r="A88" s="66" t="s">
        <v>3515</v>
      </c>
      <c r="B88" s="89"/>
      <c r="C88" s="89"/>
      <c r="D88" s="235">
        <v>-42236.28</v>
      </c>
      <c r="E88" s="235">
        <v>-44200</v>
      </c>
      <c r="F88" s="235">
        <v>-46300</v>
      </c>
      <c r="G88" s="235">
        <v>-48500</v>
      </c>
      <c r="H88" s="66" t="str">
        <f>VLOOKUP(A88,'Tot KPA'!A:H,8,0)</f>
        <v>Service charges</v>
      </c>
      <c r="I88" s="66" t="str">
        <f>VLOOKUP(A88,'Tot KPA'!A:I,9,0)</f>
        <v>Refuse</v>
      </c>
      <c r="L88" s="130"/>
    </row>
    <row r="89" spans="1:12" hidden="1" x14ac:dyDescent="0.35">
      <c r="A89" s="66" t="s">
        <v>2830</v>
      </c>
      <c r="B89" s="89">
        <v>0</v>
      </c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12" hidden="1" x14ac:dyDescent="0.35">
      <c r="A90" s="66" t="s">
        <v>2873</v>
      </c>
      <c r="B90" s="89">
        <v>0</v>
      </c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12" hidden="1" x14ac:dyDescent="0.35">
      <c r="A91" s="66" t="s">
        <v>2937</v>
      </c>
      <c r="B91" s="89">
        <v>0</v>
      </c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12" hidden="1" x14ac:dyDescent="0.35">
      <c r="A92" s="66" t="s">
        <v>2935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66" t="str">
        <f>VLOOKUP(A92,'Tot KPA'!A:H,8,0)</f>
        <v>Other revenue</v>
      </c>
      <c r="I92" s="66">
        <f>VLOOKUP(A92,'Tot KPA'!A:I,9,0)</f>
        <v>0</v>
      </c>
    </row>
    <row r="93" spans="1:12" hidden="1" x14ac:dyDescent="0.35">
      <c r="A93" s="66" t="s">
        <v>2898</v>
      </c>
      <c r="B93" s="89">
        <v>0</v>
      </c>
      <c r="C93" s="89">
        <v>0</v>
      </c>
      <c r="D93" s="89">
        <v>0</v>
      </c>
      <c r="E93" s="89">
        <v>0</v>
      </c>
      <c r="F93" s="89">
        <v>0</v>
      </c>
      <c r="G93" s="89">
        <v>0</v>
      </c>
      <c r="H93" s="66" t="str">
        <f>VLOOKUP(A93,'Tot KPA'!A:H,8,0)</f>
        <v>Other revenue</v>
      </c>
      <c r="I93" s="66">
        <f>VLOOKUP(A93,'Tot KPA'!A:I,9,0)</f>
        <v>0</v>
      </c>
    </row>
    <row r="94" spans="1:12" hidden="1" x14ac:dyDescent="0.35">
      <c r="A94" s="66" t="s">
        <v>2841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12" hidden="1" x14ac:dyDescent="0.35">
      <c r="A95" s="66" t="s">
        <v>2945</v>
      </c>
      <c r="B95" s="89">
        <v>0</v>
      </c>
      <c r="C95" s="89">
        <v>0</v>
      </c>
      <c r="D95" s="89">
        <v>0</v>
      </c>
      <c r="E95" s="89">
        <v>0</v>
      </c>
      <c r="F95" s="89">
        <v>0</v>
      </c>
      <c r="G95" s="89">
        <v>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12" hidden="1" x14ac:dyDescent="0.35">
      <c r="A96" s="66" t="s">
        <v>3521</v>
      </c>
      <c r="B96" s="89">
        <v>0</v>
      </c>
      <c r="C96" s="89">
        <v>0</v>
      </c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9" ht="15" thickBot="1" x14ac:dyDescent="0.4">
      <c r="A121" s="117" t="s">
        <v>2545</v>
      </c>
      <c r="B121" s="112">
        <f t="shared" ref="B121:G121" si="0">SUM(B2:B119)</f>
        <v>-8854300</v>
      </c>
      <c r="C121" s="112">
        <f t="shared" si="0"/>
        <v>-8654300</v>
      </c>
      <c r="D121" s="112">
        <f t="shared" si="0"/>
        <v>-8302064.3200000003</v>
      </c>
      <c r="E121" s="112">
        <f t="shared" si="0"/>
        <v>-7604800</v>
      </c>
      <c r="F121" s="112">
        <f t="shared" si="0"/>
        <v>-8038000</v>
      </c>
      <c r="G121" s="112">
        <f t="shared" si="0"/>
        <v>-8545900</v>
      </c>
    </row>
    <row r="122" spans="1:9" ht="15" thickTop="1" x14ac:dyDescent="0.35">
      <c r="E122" s="111"/>
      <c r="F122" s="111"/>
      <c r="G122" s="111"/>
    </row>
    <row r="123" spans="1:9" x14ac:dyDescent="0.35">
      <c r="A123" s="117" t="s">
        <v>2703</v>
      </c>
    </row>
    <row r="124" spans="1:9" x14ac:dyDescent="0.35">
      <c r="A124" s="117"/>
    </row>
    <row r="125" spans="1:9" hidden="1" x14ac:dyDescent="0.35">
      <c r="A125" s="66" t="s">
        <v>3438</v>
      </c>
      <c r="B125" s="89">
        <v>0</v>
      </c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>
        <v>0</v>
      </c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>
        <v>0</v>
      </c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>
        <v>0</v>
      </c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>
        <v>0</v>
      </c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>
        <v>0</v>
      </c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>
        <v>0</v>
      </c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>
        <v>0</v>
      </c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0</v>
      </c>
      <c r="C135" s="89">
        <v>0</v>
      </c>
      <c r="D135" s="89">
        <v>0</v>
      </c>
      <c r="E135" s="89">
        <v>0</v>
      </c>
      <c r="F135" s="89">
        <v>0</v>
      </c>
      <c r="G135" s="89">
        <v>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>
        <v>0</v>
      </c>
      <c r="C136" s="89">
        <v>0</v>
      </c>
      <c r="D136" s="89">
        <v>0</v>
      </c>
      <c r="E136" s="89">
        <v>0</v>
      </c>
      <c r="F136" s="89">
        <v>0</v>
      </c>
      <c r="G136" s="89">
        <v>0</v>
      </c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>
        <v>0</v>
      </c>
      <c r="C137" s="89">
        <v>0</v>
      </c>
      <c r="D137" s="89">
        <v>0</v>
      </c>
      <c r="E137" s="89">
        <v>0</v>
      </c>
      <c r="F137" s="89">
        <v>0</v>
      </c>
      <c r="G137" s="89">
        <v>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0</v>
      </c>
      <c r="C138" s="89">
        <v>0</v>
      </c>
      <c r="D138" s="89">
        <v>0</v>
      </c>
      <c r="E138" s="89">
        <v>0</v>
      </c>
      <c r="F138" s="89">
        <v>0</v>
      </c>
      <c r="G138" s="89">
        <v>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0</v>
      </c>
      <c r="C140" s="89">
        <v>0</v>
      </c>
      <c r="D140" s="89">
        <v>0</v>
      </c>
      <c r="E140" s="89">
        <v>0</v>
      </c>
      <c r="F140" s="89">
        <v>0</v>
      </c>
      <c r="G140" s="89">
        <v>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>
        <v>0</v>
      </c>
      <c r="D141" s="89">
        <v>0</v>
      </c>
      <c r="E141" s="89">
        <v>0</v>
      </c>
      <c r="F141" s="89">
        <v>0</v>
      </c>
      <c r="G141" s="89">
        <v>0</v>
      </c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>
        <v>0</v>
      </c>
      <c r="D142" s="89">
        <v>0</v>
      </c>
      <c r="E142" s="89">
        <v>0</v>
      </c>
      <c r="F142" s="89">
        <v>0</v>
      </c>
      <c r="G142" s="89">
        <v>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89">
        <v>0</v>
      </c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>
        <v>0</v>
      </c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>
        <v>0</v>
      </c>
      <c r="D145" s="89">
        <v>0</v>
      </c>
      <c r="E145" s="89">
        <v>0</v>
      </c>
      <c r="F145" s="89">
        <v>0</v>
      </c>
      <c r="G145" s="89">
        <v>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>
        <v>0</v>
      </c>
      <c r="D146" s="89">
        <v>0</v>
      </c>
      <c r="E146" s="89">
        <v>0</v>
      </c>
      <c r="F146" s="89">
        <v>0</v>
      </c>
      <c r="G146" s="89">
        <v>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>
        <v>0</v>
      </c>
      <c r="D147" s="89">
        <v>0</v>
      </c>
      <c r="E147" s="89">
        <v>0</v>
      </c>
      <c r="F147" s="89">
        <v>0</v>
      </c>
      <c r="G147" s="89">
        <v>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>
        <v>0</v>
      </c>
      <c r="D148" s="89">
        <v>0</v>
      </c>
      <c r="E148" s="89">
        <v>0</v>
      </c>
      <c r="F148" s="89">
        <v>0</v>
      </c>
      <c r="G148" s="89">
        <v>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>
        <v>0</v>
      </c>
      <c r="D149" s="89">
        <v>0</v>
      </c>
      <c r="E149" s="89">
        <v>0</v>
      </c>
      <c r="F149" s="89">
        <v>0</v>
      </c>
      <c r="G149" s="89">
        <v>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>
        <v>0</v>
      </c>
      <c r="D150" s="89">
        <v>0</v>
      </c>
      <c r="E150" s="89">
        <v>0</v>
      </c>
      <c r="F150" s="89">
        <v>0</v>
      </c>
      <c r="G150" s="89">
        <v>0</v>
      </c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>
        <v>0</v>
      </c>
      <c r="D151" s="89">
        <v>0</v>
      </c>
      <c r="E151" s="89">
        <v>0</v>
      </c>
      <c r="F151" s="89">
        <v>0</v>
      </c>
      <c r="G151" s="89">
        <v>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>
        <v>0</v>
      </c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0</v>
      </c>
      <c r="C153" s="89"/>
      <c r="D153" s="89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t="15" hidden="1" customHeight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t="15" hidden="1" customHeight="1" x14ac:dyDescent="0.35">
      <c r="A157" s="66" t="s">
        <v>3012</v>
      </c>
      <c r="B157" s="89">
        <v>0</v>
      </c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t="15" hidden="1" customHeight="1" x14ac:dyDescent="0.35">
      <c r="A158" s="66" t="s">
        <v>3010</v>
      </c>
      <c r="B158" s="89">
        <v>0</v>
      </c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t="15" hidden="1" customHeight="1" x14ac:dyDescent="0.35">
      <c r="A159" s="66" t="s">
        <v>3013</v>
      </c>
      <c r="B159" s="89">
        <v>0</v>
      </c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t="15" hidden="1" customHeight="1" x14ac:dyDescent="0.35">
      <c r="A160" s="66" t="s">
        <v>3011</v>
      </c>
      <c r="B160" s="89">
        <v>0</v>
      </c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t="15" hidden="1" customHeight="1" x14ac:dyDescent="0.35">
      <c r="A161" s="66" t="s">
        <v>2848</v>
      </c>
      <c r="B161" s="89">
        <v>0</v>
      </c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t="15" hidden="1" customHeight="1" x14ac:dyDescent="0.35">
      <c r="A162" s="66" t="s">
        <v>3005</v>
      </c>
      <c r="B162" s="89">
        <v>0</v>
      </c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t="15" hidden="1" customHeight="1" x14ac:dyDescent="0.35">
      <c r="A163" s="66" t="s">
        <v>3009</v>
      </c>
      <c r="B163" s="89">
        <v>0</v>
      </c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t="12.75" hidden="1" customHeight="1" x14ac:dyDescent="0.35">
      <c r="A164" s="66" t="s">
        <v>3004</v>
      </c>
      <c r="B164" s="89">
        <v>0</v>
      </c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t="15" hidden="1" customHeight="1" x14ac:dyDescent="0.35">
      <c r="A165" s="66" t="s">
        <v>3008</v>
      </c>
      <c r="B165" s="89">
        <v>569400</v>
      </c>
      <c r="C165" s="89">
        <v>569400</v>
      </c>
      <c r="D165" s="235">
        <v>564000</v>
      </c>
      <c r="E165" s="235">
        <v>569400</v>
      </c>
      <c r="F165" s="235">
        <v>705600</v>
      </c>
      <c r="G165" s="235">
        <v>744000</v>
      </c>
      <c r="H165" s="66" t="str">
        <f>VLOOKUP(A165,'Tot KPA'!A:H,8,0)</f>
        <v>Debt impairment</v>
      </c>
      <c r="I165" s="66">
        <f>VLOOKUP(A165,'Tot KPA'!A:I,9,0)</f>
        <v>0</v>
      </c>
    </row>
    <row r="166" spans="1:9" ht="15" hidden="1" customHeight="1" x14ac:dyDescent="0.35">
      <c r="A166" s="66" t="s">
        <v>3007</v>
      </c>
      <c r="B166" s="89"/>
      <c r="C166" s="89"/>
      <c r="D166" s="89"/>
      <c r="E166" s="234"/>
      <c r="F166" s="234"/>
      <c r="G166" s="234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234"/>
      <c r="F167" s="234"/>
      <c r="G167" s="234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234"/>
      <c r="F168" s="234"/>
      <c r="G168" s="234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234"/>
      <c r="F169" s="234"/>
      <c r="G169" s="234"/>
      <c r="H169" s="66" t="str">
        <f>VLOOKUP(A169,'Tot KPA'!A:H,8,0)</f>
        <v>Other expenditure</v>
      </c>
      <c r="I169" s="66">
        <f>VLOOKUP(A169,'Tot KPA'!A:I,9,0)</f>
        <v>0</v>
      </c>
    </row>
    <row r="170" spans="1:9" x14ac:dyDescent="0.35">
      <c r="A170" s="66" t="s">
        <v>2849</v>
      </c>
      <c r="B170" s="89"/>
      <c r="C170" s="89"/>
      <c r="D170" s="89"/>
      <c r="E170" s="234"/>
      <c r="F170" s="234"/>
      <c r="G170" s="234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234"/>
      <c r="F171" s="234"/>
      <c r="G171" s="234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234"/>
      <c r="F172" s="234"/>
      <c r="G172" s="234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234"/>
      <c r="F173" s="234"/>
      <c r="G173" s="234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234"/>
      <c r="F174" s="234"/>
      <c r="G174" s="234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234"/>
      <c r="F175" s="234"/>
      <c r="G175" s="234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234"/>
      <c r="F176" s="234"/>
      <c r="G176" s="234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234"/>
      <c r="F177" s="234"/>
      <c r="G177" s="234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234"/>
      <c r="F178" s="234"/>
      <c r="G178" s="234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234"/>
      <c r="F179" s="234"/>
      <c r="G179" s="234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234"/>
      <c r="F180" s="234"/>
      <c r="G180" s="234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234"/>
      <c r="F181" s="234"/>
      <c r="G181" s="234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234"/>
      <c r="F182" s="234"/>
      <c r="G182" s="234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900</v>
      </c>
      <c r="C183" s="89">
        <v>900</v>
      </c>
      <c r="D183" s="235">
        <v>818.53</v>
      </c>
      <c r="E183" s="235">
        <v>1200</v>
      </c>
      <c r="F183" s="235">
        <v>1300</v>
      </c>
      <c r="G183" s="235">
        <v>1400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95700</v>
      </c>
      <c r="C184" s="89">
        <v>95700</v>
      </c>
      <c r="D184" s="235">
        <v>64125.66</v>
      </c>
      <c r="E184" s="235">
        <v>103000</v>
      </c>
      <c r="F184" s="235">
        <v>109700</v>
      </c>
      <c r="G184" s="235">
        <v>116900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/>
      <c r="C185" s="89"/>
      <c r="D185" s="235"/>
      <c r="E185" s="234"/>
      <c r="F185" s="234"/>
      <c r="G185" s="234"/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x14ac:dyDescent="0.35">
      <c r="A186" s="66" t="s">
        <v>2900</v>
      </c>
      <c r="B186" s="89">
        <v>29000</v>
      </c>
      <c r="C186" s="89">
        <v>29000</v>
      </c>
      <c r="D186" s="235">
        <v>28415.03</v>
      </c>
      <c r="E186" s="235">
        <v>30800</v>
      </c>
      <c r="F186" s="235">
        <v>32800</v>
      </c>
      <c r="G186" s="235">
        <v>35000</v>
      </c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x14ac:dyDescent="0.35">
      <c r="A187" s="66" t="s">
        <v>3398</v>
      </c>
      <c r="B187" s="89"/>
      <c r="C187" s="89"/>
      <c r="D187" s="89"/>
      <c r="E187" s="234"/>
      <c r="F187" s="234"/>
      <c r="G187" s="234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x14ac:dyDescent="0.35">
      <c r="A188" s="66" t="s">
        <v>3399</v>
      </c>
      <c r="B188" s="89"/>
      <c r="C188" s="89"/>
      <c r="D188" s="89"/>
      <c r="E188" s="234"/>
      <c r="F188" s="234"/>
      <c r="G188" s="234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x14ac:dyDescent="0.35">
      <c r="A189" s="66" t="s">
        <v>2984</v>
      </c>
      <c r="B189" s="89"/>
      <c r="C189" s="89"/>
      <c r="D189" s="89"/>
      <c r="E189" s="234"/>
      <c r="F189" s="234"/>
      <c r="G189" s="234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x14ac:dyDescent="0.35">
      <c r="A190" s="66" t="s">
        <v>2904</v>
      </c>
      <c r="B190" s="89">
        <v>20000</v>
      </c>
      <c r="C190" s="89">
        <v>20000</v>
      </c>
      <c r="D190" s="235">
        <v>26819.25</v>
      </c>
      <c r="E190" s="235">
        <v>27000</v>
      </c>
      <c r="F190" s="235">
        <v>28300</v>
      </c>
      <c r="G190" s="235">
        <v>29600</v>
      </c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x14ac:dyDescent="0.35">
      <c r="A191" s="66" t="s">
        <v>2905</v>
      </c>
      <c r="B191" s="89">
        <v>143600</v>
      </c>
      <c r="C191" s="89">
        <v>143600</v>
      </c>
      <c r="D191" s="235">
        <v>144512.97</v>
      </c>
      <c r="E191" s="235">
        <v>195700</v>
      </c>
      <c r="F191" s="235">
        <v>208500</v>
      </c>
      <c r="G191" s="235">
        <v>222100</v>
      </c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x14ac:dyDescent="0.35">
      <c r="A192" s="66" t="s">
        <v>3039</v>
      </c>
      <c r="B192" s="89"/>
      <c r="C192" s="89"/>
      <c r="D192" s="89"/>
      <c r="E192" s="234"/>
      <c r="F192" s="234"/>
      <c r="G192" s="234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1147600</v>
      </c>
      <c r="C193" s="89">
        <v>1147600</v>
      </c>
      <c r="D193" s="235">
        <v>1145613.1100000001</v>
      </c>
      <c r="E193" s="235">
        <v>1233000</v>
      </c>
      <c r="F193" s="235">
        <v>1313200</v>
      </c>
      <c r="G193" s="235">
        <v>1398600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x14ac:dyDescent="0.35">
      <c r="A194" s="66" t="s">
        <v>3040</v>
      </c>
      <c r="B194" s="89"/>
      <c r="C194" s="89"/>
      <c r="D194" s="89"/>
      <c r="E194" s="234"/>
      <c r="F194" s="234"/>
      <c r="G194" s="234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x14ac:dyDescent="0.35">
      <c r="A195" s="66" t="s">
        <v>2907</v>
      </c>
      <c r="B195" s="89"/>
      <c r="C195" s="89"/>
      <c r="D195" s="89"/>
      <c r="E195" s="234"/>
      <c r="F195" s="234"/>
      <c r="G195" s="234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x14ac:dyDescent="0.35">
      <c r="A196" s="66" t="s">
        <v>2908</v>
      </c>
      <c r="B196" s="89"/>
      <c r="C196" s="89"/>
      <c r="D196" s="89"/>
      <c r="E196" s="234"/>
      <c r="F196" s="234"/>
      <c r="G196" s="234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x14ac:dyDescent="0.35">
      <c r="A197" s="66" t="s">
        <v>2909</v>
      </c>
      <c r="B197" s="89"/>
      <c r="C197" s="89"/>
      <c r="D197" s="89"/>
      <c r="E197" s="234"/>
      <c r="F197" s="234"/>
      <c r="G197" s="234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10900</v>
      </c>
      <c r="C198" s="89">
        <v>10900</v>
      </c>
      <c r="D198" s="235">
        <v>10214.61</v>
      </c>
      <c r="E198" s="235">
        <v>12000</v>
      </c>
      <c r="F198" s="235">
        <v>12800</v>
      </c>
      <c r="G198" s="235">
        <v>13600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235"/>
      <c r="F199" s="235"/>
      <c r="G199" s="235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235"/>
      <c r="F200" s="235"/>
      <c r="G200" s="235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235"/>
      <c r="F201" s="235"/>
      <c r="G201" s="235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235"/>
      <c r="F202" s="235"/>
      <c r="G202" s="235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235"/>
      <c r="F203" s="235"/>
      <c r="G203" s="235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235"/>
      <c r="F204" s="235"/>
      <c r="G204" s="235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235"/>
      <c r="F205" s="235"/>
      <c r="G205" s="235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235"/>
      <c r="F206" s="235"/>
      <c r="G206" s="235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235"/>
      <c r="F207" s="235"/>
      <c r="G207" s="235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235"/>
      <c r="F208" s="235"/>
      <c r="G208" s="235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235"/>
      <c r="F209" s="235"/>
      <c r="G209" s="235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235"/>
      <c r="F210" s="235"/>
      <c r="G210" s="235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235"/>
      <c r="F211" s="235"/>
      <c r="G211" s="235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235"/>
      <c r="F212" s="235"/>
      <c r="G212" s="235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235"/>
      <c r="F213" s="235"/>
      <c r="G213" s="235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>
        <f>202000-50000</f>
        <v>152000</v>
      </c>
      <c r="C214" s="89">
        <f>202000-50000</f>
        <v>152000</v>
      </c>
      <c r="D214" s="235">
        <v>165128</v>
      </c>
      <c r="E214" s="235">
        <v>170000</v>
      </c>
      <c r="F214" s="235">
        <v>177800</v>
      </c>
      <c r="G214" s="235">
        <v>186000</v>
      </c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234"/>
      <c r="F215" s="234"/>
      <c r="G215" s="234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234"/>
      <c r="F216" s="234"/>
      <c r="G216" s="234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234"/>
      <c r="F217" s="234"/>
      <c r="G217" s="234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234"/>
      <c r="F218" s="234"/>
      <c r="G218" s="234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234"/>
      <c r="F219" s="234"/>
      <c r="G219" s="234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234"/>
      <c r="F220" s="234"/>
      <c r="G220" s="234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234"/>
      <c r="F221" s="234"/>
      <c r="G221" s="234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235">
        <v>8850</v>
      </c>
      <c r="E222" s="235">
        <v>9400</v>
      </c>
      <c r="F222" s="235">
        <v>9900</v>
      </c>
      <c r="G222" s="235">
        <v>10400</v>
      </c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234"/>
      <c r="F223" s="234"/>
      <c r="G223" s="234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234"/>
      <c r="F224" s="234"/>
      <c r="G224" s="234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234"/>
      <c r="F225" s="234"/>
      <c r="G225" s="234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234"/>
      <c r="F226" s="234"/>
      <c r="G226" s="234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234"/>
      <c r="F227" s="234"/>
      <c r="G227" s="234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234"/>
      <c r="F228" s="234"/>
      <c r="G228" s="234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>
        <v>40000</v>
      </c>
      <c r="C229" s="89">
        <v>40000</v>
      </c>
      <c r="D229" s="235">
        <v>22512</v>
      </c>
      <c r="E229" s="235">
        <v>40000</v>
      </c>
      <c r="F229" s="235">
        <v>42200</v>
      </c>
      <c r="G229" s="235">
        <v>44500</v>
      </c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235"/>
      <c r="E230" s="235"/>
      <c r="F230" s="235"/>
      <c r="G230" s="235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235"/>
      <c r="E231" s="235"/>
      <c r="F231" s="235"/>
      <c r="G231" s="235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>
        <v>50000</v>
      </c>
      <c r="C232" s="89">
        <v>50000</v>
      </c>
      <c r="D232" s="235">
        <v>38900</v>
      </c>
      <c r="E232" s="235">
        <v>50000</v>
      </c>
      <c r="F232" s="235">
        <v>150000</v>
      </c>
      <c r="G232" s="235">
        <v>150000</v>
      </c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234"/>
      <c r="F233" s="234"/>
      <c r="G233" s="234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234"/>
      <c r="F234" s="234"/>
      <c r="G234" s="234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234"/>
      <c r="F235" s="234"/>
      <c r="G235" s="234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234"/>
      <c r="F236" s="234"/>
      <c r="G236" s="234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>
        <v>20000</v>
      </c>
      <c r="C237" s="89">
        <v>20000</v>
      </c>
      <c r="D237" s="235">
        <v>29541.34</v>
      </c>
      <c r="E237" s="235">
        <v>40000</v>
      </c>
      <c r="F237" s="235">
        <v>41800</v>
      </c>
      <c r="G237" s="235">
        <v>43800</v>
      </c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234"/>
      <c r="F238" s="234"/>
      <c r="G238" s="234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234"/>
      <c r="F239" s="234"/>
      <c r="G239" s="234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234"/>
      <c r="F240" s="234"/>
      <c r="G240" s="234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234"/>
      <c r="F241" s="234"/>
      <c r="G241" s="234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234"/>
      <c r="F242" s="234"/>
      <c r="G242" s="234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234"/>
      <c r="F243" s="234"/>
      <c r="G243" s="234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234"/>
      <c r="F244" s="234"/>
      <c r="G244" s="234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234"/>
      <c r="F245" s="234"/>
      <c r="G245" s="234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234"/>
      <c r="F246" s="234"/>
      <c r="G246" s="234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234"/>
      <c r="F247" s="234"/>
      <c r="G247" s="234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234"/>
      <c r="F248" s="234"/>
      <c r="G248" s="234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234"/>
      <c r="F249" s="234"/>
      <c r="G249" s="234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234"/>
      <c r="F250" s="234"/>
      <c r="G250" s="234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234"/>
      <c r="F251" s="234"/>
      <c r="G251" s="234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234"/>
      <c r="F252" s="234"/>
      <c r="G252" s="234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234"/>
      <c r="F253" s="234"/>
      <c r="G253" s="234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234"/>
      <c r="F254" s="234"/>
      <c r="G254" s="234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234"/>
      <c r="F255" s="234"/>
      <c r="G255" s="234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234"/>
      <c r="F256" s="234"/>
      <c r="G256" s="234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234"/>
      <c r="F257" s="234"/>
      <c r="G257" s="234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234"/>
      <c r="F258" s="234"/>
      <c r="G258" s="234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234"/>
      <c r="F259" s="234"/>
      <c r="G259" s="234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234"/>
      <c r="F260" s="234"/>
      <c r="G260" s="234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234"/>
      <c r="F261" s="234"/>
      <c r="G261" s="234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234"/>
      <c r="F262" s="234"/>
      <c r="G262" s="234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>
        <v>140000</v>
      </c>
      <c r="C263" s="89">
        <v>140000</v>
      </c>
      <c r="D263" s="235">
        <v>145216.92000000001</v>
      </c>
      <c r="E263" s="235">
        <v>160000</v>
      </c>
      <c r="F263" s="235">
        <v>167300</v>
      </c>
      <c r="G263" s="235">
        <v>175000</v>
      </c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/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/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/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/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/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/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/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/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>
        <f>11500+8300</f>
        <v>19800</v>
      </c>
      <c r="C272" s="89">
        <f>11500+8300</f>
        <v>19800</v>
      </c>
      <c r="D272" s="235">
        <v>17518.84</v>
      </c>
      <c r="E272" s="235">
        <f>12500+8200</f>
        <v>20700</v>
      </c>
      <c r="F272" s="235">
        <v>22100</v>
      </c>
      <c r="G272" s="235">
        <v>23600</v>
      </c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>
        <v>0</v>
      </c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0</v>
      </c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>
        <v>0</v>
      </c>
      <c r="C275" s="89"/>
      <c r="D275" s="89"/>
      <c r="E275" s="89"/>
      <c r="F275" s="89"/>
      <c r="G275" s="89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>
        <v>0</v>
      </c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0</v>
      </c>
      <c r="C277" s="89"/>
      <c r="D277" s="89"/>
      <c r="E277" s="89"/>
      <c r="F277" s="89"/>
      <c r="G277" s="89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/>
      <c r="D278" s="89"/>
      <c r="E278" s="89"/>
      <c r="F278" s="89"/>
      <c r="G278" s="89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/>
      <c r="D279" s="89"/>
      <c r="E279" s="89"/>
      <c r="F279" s="89"/>
      <c r="G279" s="89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>
        <v>0</v>
      </c>
      <c r="C280" s="89"/>
      <c r="D280" s="89"/>
      <c r="E280" s="89"/>
      <c r="F280" s="89"/>
      <c r="G280" s="89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/>
      <c r="D281" s="89"/>
      <c r="E281" s="89"/>
      <c r="F281" s="89"/>
      <c r="G281" s="89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2438900</v>
      </c>
      <c r="C290" s="112">
        <f t="shared" si="1"/>
        <v>2438900</v>
      </c>
      <c r="D290" s="112">
        <f t="shared" si="1"/>
        <v>2412186.2599999998</v>
      </c>
      <c r="E290" s="112">
        <f t="shared" si="1"/>
        <v>2662200</v>
      </c>
      <c r="F290" s="112">
        <f t="shared" si="1"/>
        <v>3023300</v>
      </c>
      <c r="G290" s="112">
        <f t="shared" si="1"/>
        <v>3194500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-6415400</v>
      </c>
      <c r="C292" s="112">
        <f t="shared" si="2"/>
        <v>-6215400</v>
      </c>
      <c r="D292" s="112">
        <f t="shared" si="2"/>
        <v>-5889878.0600000005</v>
      </c>
      <c r="E292" s="112">
        <f t="shared" si="2"/>
        <v>-4942600</v>
      </c>
      <c r="F292" s="112">
        <f t="shared" si="2"/>
        <v>-5014700</v>
      </c>
      <c r="G292" s="112">
        <f t="shared" si="2"/>
        <v>-5351400</v>
      </c>
    </row>
    <row r="293" spans="1:7" ht="15" thickTop="1" x14ac:dyDescent="0.35"/>
    <row r="295" spans="1:7" x14ac:dyDescent="0.35">
      <c r="E295" s="111"/>
      <c r="F295" s="111"/>
      <c r="G295" s="111"/>
    </row>
    <row r="297" spans="1:7" x14ac:dyDescent="0.35">
      <c r="A297" s="30"/>
      <c r="B297" s="30"/>
      <c r="C297" s="114"/>
      <c r="D297" s="114"/>
      <c r="E297" s="30"/>
      <c r="F297" s="30"/>
      <c r="G297" s="30"/>
    </row>
    <row r="298" spans="1:7" x14ac:dyDescent="0.35">
      <c r="A298" s="30"/>
      <c r="B298" s="30"/>
      <c r="C298" s="114"/>
      <c r="D298" s="114"/>
      <c r="E298" s="30"/>
      <c r="F298" s="30"/>
      <c r="G298" s="30"/>
    </row>
    <row r="299" spans="1:7" x14ac:dyDescent="0.35">
      <c r="A299" s="30"/>
      <c r="B299" s="30"/>
      <c r="C299" s="114"/>
      <c r="D299" s="114"/>
      <c r="E299" s="140"/>
      <c r="F299" s="140"/>
      <c r="G299" s="140"/>
    </row>
    <row r="300" spans="1:7" x14ac:dyDescent="0.35">
      <c r="A300" s="30"/>
      <c r="B300" s="30"/>
      <c r="C300" s="114"/>
      <c r="D300" s="114"/>
      <c r="E300" s="30"/>
      <c r="F300" s="114"/>
      <c r="G300" s="30"/>
    </row>
    <row r="301" spans="1:7" x14ac:dyDescent="0.35">
      <c r="A301" s="30"/>
      <c r="B301" s="30"/>
      <c r="C301" s="114"/>
      <c r="D301" s="114"/>
      <c r="E301" s="30"/>
      <c r="F301" s="30"/>
      <c r="G301" s="30"/>
    </row>
    <row r="302" spans="1:7" x14ac:dyDescent="0.35">
      <c r="A302" s="30"/>
      <c r="B302" s="126"/>
      <c r="C302" s="107"/>
      <c r="D302" s="126"/>
      <c r="E302" s="30"/>
      <c r="F302" s="30"/>
      <c r="G302" s="30"/>
    </row>
    <row r="303" spans="1:7" x14ac:dyDescent="0.35">
      <c r="A303" s="30"/>
      <c r="B303" s="30"/>
      <c r="C303" s="114"/>
      <c r="D303" s="114"/>
      <c r="E303" s="30"/>
      <c r="F303" s="30"/>
      <c r="G303" s="30"/>
    </row>
  </sheetData>
  <autoFilter ref="G124:H288" xr:uid="{950CADB8-FA87-432F-8927-96BD2E844DD4}">
    <filterColumn colId="1">
      <filters>
        <filter val="Depreciation and asset impairment"/>
        <filter val="Employee related cost"/>
      </filters>
    </filterColumn>
  </autoFilter>
  <sortState xmlns:xlrd2="http://schemas.microsoft.com/office/spreadsheetml/2017/richdata2" ref="A125:I288">
    <sortCondition ref="A125:A288"/>
  </sortState>
  <pageMargins left="0.7" right="0.7" top="0.75" bottom="0.75" header="0.3" footer="0.3"/>
  <pageSetup scale="1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3"/>
    <pageSetUpPr fitToPage="1"/>
  </sheetPr>
  <dimension ref="A1:L303"/>
  <sheetViews>
    <sheetView zoomScale="69" zoomScaleNormal="69" workbookViewId="0">
      <selection activeCell="E183" sqref="E183:E198"/>
    </sheetView>
  </sheetViews>
  <sheetFormatPr defaultColWidth="9.1796875" defaultRowHeight="14.5" x14ac:dyDescent="0.35"/>
  <cols>
    <col min="1" max="1" width="61.36328125" style="113" customWidth="1"/>
    <col min="2" max="2" width="24.7265625" style="113" bestFit="1" customWidth="1"/>
    <col min="3" max="3" width="19.54296875" style="111" customWidth="1"/>
    <col min="4" max="4" width="19.54296875" style="111" bestFit="1" customWidth="1"/>
    <col min="5" max="7" width="19.54296875" style="113" bestFit="1" customWidth="1"/>
    <col min="8" max="8" width="36.54296875" style="113" customWidth="1"/>
    <col min="9" max="9" width="37.26953125" style="113" customWidth="1"/>
    <col min="10" max="11" width="9.1796875" style="113"/>
    <col min="12" max="12" width="12.54296875" style="113" bestFit="1" customWidth="1"/>
    <col min="13" max="16384" width="9.1796875" style="113"/>
  </cols>
  <sheetData>
    <row r="1" spans="1:9" ht="15" thickBot="1" x14ac:dyDescent="0.4">
      <c r="F1" s="118">
        <v>18</v>
      </c>
      <c r="G1" s="118"/>
    </row>
    <row r="2" spans="1:9" ht="15" thickBot="1" x14ac:dyDescent="0.4">
      <c r="A2" s="120" t="s">
        <v>2815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17" t="s">
        <v>3451</v>
      </c>
      <c r="B4" s="111"/>
      <c r="E4" s="111"/>
      <c r="F4" s="116"/>
      <c r="G4" s="116"/>
    </row>
    <row r="5" spans="1:9" x14ac:dyDescent="0.35">
      <c r="A5" s="117"/>
      <c r="B5" s="111"/>
      <c r="E5" s="111"/>
      <c r="F5" s="116"/>
      <c r="G5" s="116"/>
    </row>
    <row r="6" spans="1:9" hidden="1" x14ac:dyDescent="0.35">
      <c r="A6" s="217" t="s">
        <v>3426</v>
      </c>
      <c r="B6" s="89"/>
      <c r="C6" s="89"/>
      <c r="D6" s="89"/>
      <c r="E6" s="89"/>
      <c r="F6" s="216"/>
      <c r="G6" s="216"/>
      <c r="H6" s="66" t="str">
        <f>VLOOKUP(A6,'Tot KPA'!A:H,8,0)</f>
        <v>Other revenue</v>
      </c>
      <c r="I6" s="66">
        <f>VLOOKUP(A6,'Tot KPA'!A:I,9,0)</f>
        <v>0</v>
      </c>
    </row>
    <row r="7" spans="1:9" hidden="1" x14ac:dyDescent="0.35">
      <c r="A7" s="66" t="s">
        <v>2833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  <c r="I7" s="66">
        <f>VLOOKUP(A7,'Tot KPA'!A:I,9,0)</f>
        <v>0</v>
      </c>
    </row>
    <row r="8" spans="1:9" hidden="1" x14ac:dyDescent="0.35">
      <c r="A8" s="66" t="s">
        <v>2979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  <c r="I8" s="66">
        <f>VLOOKUP(A8,'Tot KPA'!A:I,9,0)</f>
        <v>0</v>
      </c>
    </row>
    <row r="9" spans="1:9" hidden="1" x14ac:dyDescent="0.35">
      <c r="A9" s="66" t="s">
        <v>2834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Other revenue</v>
      </c>
      <c r="I9" s="66">
        <f>VLOOKUP(A9,'Tot KPA'!A:I,9,0)</f>
        <v>0</v>
      </c>
    </row>
    <row r="10" spans="1:9" hidden="1" x14ac:dyDescent="0.35">
      <c r="A10" s="66" t="s">
        <v>2894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  <c r="I10" s="66">
        <f>VLOOKUP(A10,'Tot KPA'!A:I,9,0)</f>
        <v>0</v>
      </c>
    </row>
    <row r="11" spans="1:9" hidden="1" x14ac:dyDescent="0.35">
      <c r="A11" s="66" t="s">
        <v>2893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Rental of facilities and equipment</v>
      </c>
      <c r="I11" s="66">
        <f>VLOOKUP(A11,'Tot KPA'!A:I,9,0)</f>
        <v>0</v>
      </c>
    </row>
    <row r="12" spans="1:9" hidden="1" x14ac:dyDescent="0.35">
      <c r="A12" s="66" t="s">
        <v>2977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>Other revenue</v>
      </c>
      <c r="I12" s="66">
        <f>VLOOKUP(A12,'Tot KPA'!A:I,9,0)</f>
        <v>0</v>
      </c>
    </row>
    <row r="13" spans="1:9" hidden="1" x14ac:dyDescent="0.35">
      <c r="A13" s="66" t="s">
        <v>2981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  <c r="I13" s="66" t="str">
        <f>VLOOKUP(A13,'Tot KPA'!A:I,9,0)</f>
        <v>Electricity</v>
      </c>
    </row>
    <row r="14" spans="1:9" hidden="1" x14ac:dyDescent="0.35">
      <c r="A14" s="66" t="s">
        <v>2895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str">
        <f>VLOOKUP(A14,'Tot KPA'!A:H,8,0)</f>
        <v xml:space="preserve">Service charges </v>
      </c>
      <c r="I14" s="66" t="str">
        <f>VLOOKUP(A14,'Tot KPA'!A:I,9,0)</f>
        <v>Electricity</v>
      </c>
    </row>
    <row r="15" spans="1:9" hidden="1" x14ac:dyDescent="0.35">
      <c r="A15" s="66" t="s">
        <v>3538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  <c r="I15" s="66" t="str">
        <f>VLOOKUP(A15,'Tot KPA'!A:I,9,0)</f>
        <v>Electricity</v>
      </c>
    </row>
    <row r="16" spans="1:9" hidden="1" x14ac:dyDescent="0.35">
      <c r="A16" s="66" t="s">
        <v>2980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str">
        <f>VLOOKUP(A16,'Tot KPA'!A:H,8,0)</f>
        <v xml:space="preserve">Service charges </v>
      </c>
      <c r="I16" s="66" t="str">
        <f>VLOOKUP(A16,'Tot KPA'!A:I,9,0)</f>
        <v>Electricity</v>
      </c>
    </row>
    <row r="17" spans="1:9" hidden="1" x14ac:dyDescent="0.35">
      <c r="A17" s="66" t="s">
        <v>3537</v>
      </c>
      <c r="B17" s="89"/>
      <c r="C17" s="89"/>
      <c r="D17" s="234"/>
      <c r="E17" s="234"/>
      <c r="F17" s="234"/>
      <c r="G17" s="234"/>
      <c r="H17" s="66" t="str">
        <f>VLOOKUP(A17,'Tot KPA'!A:H,8,0)</f>
        <v xml:space="preserve">Service charges </v>
      </c>
      <c r="I17" s="66" t="str">
        <f>VLOOKUP(A17,'Tot KPA'!A:I,9,0)</f>
        <v>Electricity</v>
      </c>
    </row>
    <row r="18" spans="1:9" hidden="1" x14ac:dyDescent="0.35">
      <c r="A18" s="66" t="s">
        <v>3533</v>
      </c>
      <c r="B18" s="89">
        <v>0</v>
      </c>
      <c r="C18" s="89">
        <v>0</v>
      </c>
      <c r="D18" s="234"/>
      <c r="E18" s="234"/>
      <c r="F18" s="234"/>
      <c r="G18" s="234"/>
      <c r="H18" s="66" t="str">
        <f>VLOOKUP(A18,'Tot KPA'!A:H,8,0)</f>
        <v xml:space="preserve">Service charges </v>
      </c>
      <c r="I18" s="66" t="str">
        <f>VLOOKUP(A18,'Tot KPA'!A:I,9,0)</f>
        <v>Electricity</v>
      </c>
    </row>
    <row r="19" spans="1:9" hidden="1" x14ac:dyDescent="0.35">
      <c r="A19" s="66" t="s">
        <v>3532</v>
      </c>
      <c r="B19" s="89"/>
      <c r="C19" s="89"/>
      <c r="D19" s="234"/>
      <c r="E19" s="234"/>
      <c r="F19" s="234"/>
      <c r="G19" s="234"/>
      <c r="H19" s="66" t="str">
        <f>VLOOKUP(A19,'Tot KPA'!A:H,8,0)</f>
        <v xml:space="preserve">Service charges </v>
      </c>
      <c r="I19" s="66" t="str">
        <f>VLOOKUP(A19,'Tot KPA'!A:I,9,0)</f>
        <v>Electricity</v>
      </c>
    </row>
    <row r="20" spans="1:9" hidden="1" x14ac:dyDescent="0.35">
      <c r="A20" s="66" t="s">
        <v>3534</v>
      </c>
      <c r="B20" s="89"/>
      <c r="C20" s="89"/>
      <c r="D20" s="234"/>
      <c r="E20" s="234"/>
      <c r="F20" s="234"/>
      <c r="G20" s="234"/>
      <c r="H20" s="66" t="str">
        <f>VLOOKUP(A20,'Tot KPA'!A:H,8,0)</f>
        <v xml:space="preserve">Service charges </v>
      </c>
      <c r="I20" s="66" t="str">
        <f>VLOOKUP(A20,'Tot KPA'!A:I,9,0)</f>
        <v>Electricity</v>
      </c>
    </row>
    <row r="21" spans="1:9" hidden="1" x14ac:dyDescent="0.35">
      <c r="A21" s="66" t="s">
        <v>3535</v>
      </c>
      <c r="B21" s="89"/>
      <c r="C21" s="89"/>
      <c r="D21" s="234"/>
      <c r="E21" s="234"/>
      <c r="F21" s="234"/>
      <c r="G21" s="234"/>
      <c r="H21" s="66" t="str">
        <f>VLOOKUP(A21,'Tot KPA'!A:H,8,0)</f>
        <v xml:space="preserve">Service charges </v>
      </c>
      <c r="I21" s="66" t="str">
        <f>VLOOKUP(A21,'Tot KPA'!A:I,9,0)</f>
        <v>Electricity</v>
      </c>
    </row>
    <row r="22" spans="1:9" hidden="1" x14ac:dyDescent="0.35">
      <c r="A22" s="66" t="s">
        <v>3536</v>
      </c>
      <c r="B22" s="89"/>
      <c r="C22" s="89"/>
      <c r="D22" s="234"/>
      <c r="E22" s="234"/>
      <c r="F22" s="234"/>
      <c r="G22" s="234"/>
      <c r="H22" s="66" t="str">
        <f>VLOOKUP(A22,'Tot KPA'!A:H,8,0)</f>
        <v xml:space="preserve">Service charges </v>
      </c>
      <c r="I22" s="66" t="str">
        <f>VLOOKUP(A22,'Tot KPA'!A:I,9,0)</f>
        <v>Electricity</v>
      </c>
    </row>
    <row r="23" spans="1:9" hidden="1" x14ac:dyDescent="0.35">
      <c r="A23" s="66" t="s">
        <v>2896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Fines</v>
      </c>
      <c r="I23" s="66">
        <f>VLOOKUP(A23,'Tot KPA'!A:I,9,0)</f>
        <v>0</v>
      </c>
    </row>
    <row r="24" spans="1:9" hidden="1" x14ac:dyDescent="0.35">
      <c r="A24" s="66" t="s">
        <v>2832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Transfers recognised</v>
      </c>
      <c r="I24" s="66" t="str">
        <f>VLOOKUP(A24,'Tot KPA'!A:I,9,0)</f>
        <v>Capital</v>
      </c>
    </row>
    <row r="25" spans="1:9" hidden="1" x14ac:dyDescent="0.35">
      <c r="A25" s="66" t="s">
        <v>2825</v>
      </c>
      <c r="B25" s="89"/>
      <c r="C25" s="89"/>
      <c r="D25" s="89"/>
      <c r="E25" s="89"/>
      <c r="F25" s="89"/>
      <c r="G25" s="89"/>
      <c r="H25" s="66" t="str">
        <f>VLOOKUP(A25,'Tot KPA'!A:H,8,0)</f>
        <v>Transfers recognised</v>
      </c>
      <c r="I25" s="66" t="str">
        <f>VLOOKUP(A25,'Tot KPA'!A:I,9,0)</f>
        <v>Operational</v>
      </c>
    </row>
    <row r="26" spans="1:9" hidden="1" x14ac:dyDescent="0.35">
      <c r="A26" s="66" t="s">
        <v>2826</v>
      </c>
      <c r="B26" s="89"/>
      <c r="C26" s="89"/>
      <c r="D26" s="89"/>
      <c r="E26" s="89"/>
      <c r="F26" s="89"/>
      <c r="G26" s="89"/>
      <c r="H26" s="66" t="str">
        <f>VLOOKUP(A26,'Tot KPA'!A:H,8,0)</f>
        <v>Transfers recognised</v>
      </c>
      <c r="I26" s="66" t="str">
        <f>VLOOKUP(A26,'Tot KPA'!A:I,9,0)</f>
        <v>Operational</v>
      </c>
    </row>
    <row r="27" spans="1:9" hidden="1" x14ac:dyDescent="0.35">
      <c r="A27" s="66" t="s">
        <v>3001</v>
      </c>
      <c r="B27" s="89"/>
      <c r="C27" s="89"/>
      <c r="D27" s="89"/>
      <c r="E27" s="89"/>
      <c r="F27" s="89"/>
      <c r="G27" s="89"/>
      <c r="H27" s="66" t="str">
        <f>VLOOKUP(A27,'Tot KPA'!A:H,8,0)</f>
        <v>Transfers recognised</v>
      </c>
      <c r="I27" s="66" t="str">
        <f>VLOOKUP(A27,'Tot KPA'!A:I,9,0)</f>
        <v>Operational</v>
      </c>
    </row>
    <row r="28" spans="1:9" hidden="1" x14ac:dyDescent="0.35">
      <c r="A28" s="66" t="s">
        <v>2974</v>
      </c>
      <c r="B28" s="89"/>
      <c r="C28" s="89"/>
      <c r="D28" s="89"/>
      <c r="E28" s="89"/>
      <c r="F28" s="89"/>
      <c r="G28" s="89"/>
      <c r="H28" s="66" t="str">
        <f>VLOOKUP(A28,'Tot KPA'!A:H,8,0)</f>
        <v>Other revenue</v>
      </c>
      <c r="I28" s="66">
        <f>VLOOKUP(A28,'Tot KPA'!A:I,9,0)</f>
        <v>0</v>
      </c>
    </row>
    <row r="29" spans="1:9" hidden="1" x14ac:dyDescent="0.35">
      <c r="A29" s="66" t="s">
        <v>2836</v>
      </c>
      <c r="B29" s="89"/>
      <c r="C29" s="89"/>
      <c r="D29" s="89"/>
      <c r="E29" s="89"/>
      <c r="F29" s="89"/>
      <c r="G29" s="89"/>
      <c r="H29" s="66" t="str">
        <f>VLOOKUP(A29,'Tot KPA'!A:H,8,0)</f>
        <v>Gains on disposal of assets</v>
      </c>
      <c r="I29" s="66">
        <f>VLOOKUP(A29,'Tot KPA'!A:I,9,0)</f>
        <v>0</v>
      </c>
    </row>
    <row r="30" spans="1:9" hidden="1" x14ac:dyDescent="0.35">
      <c r="A30" s="66" t="s">
        <v>3002</v>
      </c>
      <c r="B30" s="89"/>
      <c r="C30" s="89"/>
      <c r="D30" s="89"/>
      <c r="E30" s="89"/>
      <c r="F30" s="89"/>
      <c r="G30" s="89"/>
      <c r="H30" s="66" t="str">
        <f>VLOOKUP(A30,'Tot KPA'!A:H,8,0)</f>
        <v>Service charges</v>
      </c>
      <c r="I30" s="66" t="str">
        <f>VLOOKUP(A30,'Tot KPA'!A:I,9,0)</f>
        <v>Refuse</v>
      </c>
    </row>
    <row r="31" spans="1:9" hidden="1" x14ac:dyDescent="0.35">
      <c r="A31" s="66" t="s">
        <v>2899</v>
      </c>
      <c r="B31" s="89"/>
      <c r="C31" s="89"/>
      <c r="D31" s="89"/>
      <c r="E31" s="89"/>
      <c r="F31" s="89"/>
      <c r="G31" s="89"/>
      <c r="H31" s="66" t="str">
        <f>VLOOKUP(A31,'Tot KPA'!A:H,8,0)</f>
        <v>Rental of facilities and equipment</v>
      </c>
      <c r="I31" s="66">
        <f>VLOOKUP(A31,'Tot KPA'!A:I,9,0)</f>
        <v>0</v>
      </c>
    </row>
    <row r="32" spans="1:9" hidden="1" x14ac:dyDescent="0.35">
      <c r="A32" s="66" t="s">
        <v>3539</v>
      </c>
      <c r="B32" s="89"/>
      <c r="C32" s="89"/>
      <c r="D32" s="89"/>
      <c r="E32" s="89"/>
      <c r="F32" s="89"/>
      <c r="G32" s="89"/>
      <c r="H32" s="66" t="str">
        <f>VLOOKUP(A32,'Tot KPA'!A:H,8,0)</f>
        <v>Service charges</v>
      </c>
      <c r="I32" s="66" t="str">
        <f>VLOOKUP(A32,'Tot KPA'!A:I,9,0)</f>
        <v>Electricity</v>
      </c>
    </row>
    <row r="33" spans="1:9" hidden="1" x14ac:dyDescent="0.35">
      <c r="A33" s="66" t="s">
        <v>3540</v>
      </c>
      <c r="B33" s="89"/>
      <c r="C33" s="89"/>
      <c r="D33" s="89"/>
      <c r="E33" s="89"/>
      <c r="F33" s="89"/>
      <c r="G33" s="89"/>
      <c r="H33" s="66" t="str">
        <f>VLOOKUP(A33,'Tot KPA'!A:H,8,0)</f>
        <v>Service charges</v>
      </c>
      <c r="I33" s="66" t="str">
        <f>VLOOKUP(A33,'Tot KPA'!A:I,9,0)</f>
        <v>Electricity</v>
      </c>
    </row>
    <row r="34" spans="1:9" hidden="1" x14ac:dyDescent="0.35">
      <c r="A34" s="66" t="s">
        <v>3541</v>
      </c>
      <c r="B34" s="89"/>
      <c r="C34" s="89"/>
      <c r="D34" s="89"/>
      <c r="E34" s="89"/>
      <c r="F34" s="89"/>
      <c r="G34" s="89"/>
      <c r="H34" s="66" t="str">
        <f>VLOOKUP(A34,'Tot KPA'!A:H,8,0)</f>
        <v>Service charges</v>
      </c>
      <c r="I34" s="66" t="str">
        <f>VLOOKUP(A34,'Tot KPA'!A:I,9,0)</f>
        <v>Electricity</v>
      </c>
    </row>
    <row r="35" spans="1:9" hidden="1" x14ac:dyDescent="0.35">
      <c r="A35" s="66" t="s">
        <v>3542</v>
      </c>
      <c r="B35" s="89"/>
      <c r="C35" s="89"/>
      <c r="D35" s="89"/>
      <c r="E35" s="89"/>
      <c r="F35" s="89"/>
      <c r="G35" s="89"/>
      <c r="H35" s="66" t="str">
        <f>VLOOKUP(A35,'Tot KPA'!A:H,8,0)</f>
        <v>Service charges</v>
      </c>
      <c r="I35" s="66" t="str">
        <f>VLOOKUP(A35,'Tot KPA'!A:I,9,0)</f>
        <v>Electricity</v>
      </c>
    </row>
    <row r="36" spans="1:9" hidden="1" x14ac:dyDescent="0.35">
      <c r="A36" s="66" t="s">
        <v>3543</v>
      </c>
      <c r="B36" s="89"/>
      <c r="C36" s="89"/>
      <c r="D36" s="89"/>
      <c r="E36" s="89"/>
      <c r="F36" s="89"/>
      <c r="G36" s="89"/>
      <c r="H36" s="66" t="str">
        <f>VLOOKUP(A36,'Tot KPA'!A:H,8,0)</f>
        <v>Service charges</v>
      </c>
      <c r="I36" s="66" t="str">
        <f>VLOOKUP(A36,'Tot KPA'!A:I,9,0)</f>
        <v>Electricity</v>
      </c>
    </row>
    <row r="37" spans="1:9" hidden="1" x14ac:dyDescent="0.35">
      <c r="A37" s="66" t="s">
        <v>3544</v>
      </c>
      <c r="B37" s="89"/>
      <c r="C37" s="89"/>
      <c r="D37" s="89"/>
      <c r="E37" s="89"/>
      <c r="F37" s="89"/>
      <c r="G37" s="89"/>
      <c r="H37" s="66" t="str">
        <f>VLOOKUP(A37,'Tot KPA'!A:H,8,0)</f>
        <v>Service charges</v>
      </c>
      <c r="I37" s="66" t="str">
        <f>VLOOKUP(A37,'Tot KPA'!A:I,9,0)</f>
        <v>Electricity</v>
      </c>
    </row>
    <row r="38" spans="1:9" hidden="1" x14ac:dyDescent="0.35">
      <c r="A38" s="66" t="s">
        <v>3545</v>
      </c>
      <c r="B38" s="89"/>
      <c r="C38" s="89"/>
      <c r="D38" s="89"/>
      <c r="E38" s="89"/>
      <c r="F38" s="89"/>
      <c r="G38" s="89"/>
      <c r="H38" s="66" t="str">
        <f>VLOOKUP(A38,'Tot KPA'!A:H,8,0)</f>
        <v>Service charges</v>
      </c>
      <c r="I38" s="66" t="str">
        <f>VLOOKUP(A38,'Tot KPA'!A:I,9,0)</f>
        <v>Electricity</v>
      </c>
    </row>
    <row r="39" spans="1:9" hidden="1" x14ac:dyDescent="0.35">
      <c r="A39" s="66" t="s">
        <v>2957</v>
      </c>
      <c r="B39" s="89"/>
      <c r="C39" s="89"/>
      <c r="D39" s="89"/>
      <c r="E39" s="89"/>
      <c r="F39" s="89"/>
      <c r="G39" s="89"/>
      <c r="H39" s="66" t="str">
        <f>VLOOKUP(A39,'Tot KPA'!A:H,8,0)</f>
        <v>Property Rates</v>
      </c>
      <c r="I39" s="66">
        <f>VLOOKUP(A39,'Tot KPA'!A:I,9,0)</f>
        <v>0</v>
      </c>
    </row>
    <row r="40" spans="1:9" hidden="1" x14ac:dyDescent="0.35">
      <c r="A40" s="66" t="s">
        <v>3518</v>
      </c>
      <c r="B40" s="89"/>
      <c r="C40" s="89"/>
      <c r="D40" s="89"/>
      <c r="E40" s="89"/>
      <c r="F40" s="89"/>
      <c r="G40" s="89"/>
      <c r="H40" s="66" t="str">
        <f>VLOOKUP(A40,'Tot KPA'!A:H,8,0)</f>
        <v>Service charges</v>
      </c>
      <c r="I40" s="66" t="str">
        <f>VLOOKUP(A40,'Tot KPA'!A:I,9,0)</f>
        <v>Refuse</v>
      </c>
    </row>
    <row r="41" spans="1:9" hidden="1" x14ac:dyDescent="0.35">
      <c r="A41" s="66" t="s">
        <v>3517</v>
      </c>
      <c r="B41" s="89"/>
      <c r="C41" s="89"/>
      <c r="D41" s="89"/>
      <c r="E41" s="89"/>
      <c r="F41" s="89"/>
      <c r="G41" s="89"/>
      <c r="H41" s="66" t="str">
        <f>VLOOKUP(A41,'Tot KPA'!A:H,8,0)</f>
        <v>Service charges</v>
      </c>
      <c r="I41" s="66" t="str">
        <f>VLOOKUP(A41,'Tot KPA'!A:I,9,0)</f>
        <v>Refuse</v>
      </c>
    </row>
    <row r="42" spans="1:9" hidden="1" x14ac:dyDescent="0.35">
      <c r="A42" s="66" t="s">
        <v>3519</v>
      </c>
      <c r="B42" s="89"/>
      <c r="C42" s="89"/>
      <c r="D42" s="89"/>
      <c r="E42" s="89"/>
      <c r="F42" s="89"/>
      <c r="G42" s="89"/>
      <c r="H42" s="66" t="str">
        <f>VLOOKUP(A42,'Tot KPA'!A:H,8,0)</f>
        <v>Service charges</v>
      </c>
      <c r="I42" s="66" t="str">
        <f>VLOOKUP(A42,'Tot KPA'!A:I,9,0)</f>
        <v>Sanitation</v>
      </c>
    </row>
    <row r="43" spans="1:9" hidden="1" x14ac:dyDescent="0.35">
      <c r="A43" s="66" t="s">
        <v>3520</v>
      </c>
      <c r="B43" s="89"/>
      <c r="C43" s="89"/>
      <c r="D43" s="89"/>
      <c r="E43" s="89"/>
      <c r="F43" s="89"/>
      <c r="G43" s="89"/>
      <c r="H43" s="66" t="str">
        <f>VLOOKUP(A43,'Tot KPA'!A:H,8,0)</f>
        <v>Service charges</v>
      </c>
      <c r="I43" s="66" t="str">
        <f>VLOOKUP(A43,'Tot KPA'!A:I,9,0)</f>
        <v>Sanitation</v>
      </c>
    </row>
    <row r="44" spans="1:9" hidden="1" x14ac:dyDescent="0.35">
      <c r="A44" s="66" t="s">
        <v>3526</v>
      </c>
      <c r="B44" s="89"/>
      <c r="C44" s="89"/>
      <c r="D44" s="89"/>
      <c r="E44" s="89"/>
      <c r="F44" s="89"/>
      <c r="G44" s="89"/>
      <c r="H44" s="66" t="str">
        <f>VLOOKUP(A44,'Tot KPA'!A:H,8,0)</f>
        <v>Service charges</v>
      </c>
      <c r="I44" s="66" t="str">
        <f>VLOOKUP(A44,'Tot KPA'!A:I,9,0)</f>
        <v>Water</v>
      </c>
    </row>
    <row r="45" spans="1:9" hidden="1" x14ac:dyDescent="0.35">
      <c r="A45" s="66" t="s">
        <v>3524</v>
      </c>
      <c r="B45" s="89"/>
      <c r="C45" s="89"/>
      <c r="D45" s="89"/>
      <c r="E45" s="89"/>
      <c r="F45" s="89"/>
      <c r="G45" s="89"/>
      <c r="H45" s="66" t="str">
        <f>VLOOKUP(A45,'Tot KPA'!A:H,8,0)</f>
        <v>Service charges</v>
      </c>
      <c r="I45" s="66" t="str">
        <f>VLOOKUP(A45,'Tot KPA'!A:I,9,0)</f>
        <v>Water</v>
      </c>
    </row>
    <row r="46" spans="1:9" hidden="1" x14ac:dyDescent="0.35">
      <c r="A46" s="66" t="s">
        <v>3525</v>
      </c>
      <c r="B46" s="89"/>
      <c r="C46" s="89"/>
      <c r="D46" s="89"/>
      <c r="E46" s="89"/>
      <c r="F46" s="89"/>
      <c r="G46" s="89"/>
      <c r="H46" s="66" t="str">
        <f>VLOOKUP(A46,'Tot KPA'!A:H,8,0)</f>
        <v>Service charges</v>
      </c>
      <c r="I46" s="66" t="str">
        <f>VLOOKUP(A46,'Tot KPA'!A:I,9,0)</f>
        <v>Water</v>
      </c>
    </row>
    <row r="47" spans="1:9" hidden="1" x14ac:dyDescent="0.35">
      <c r="A47" s="66" t="s">
        <v>3527</v>
      </c>
      <c r="B47" s="89"/>
      <c r="C47" s="89"/>
      <c r="D47" s="89"/>
      <c r="E47" s="89"/>
      <c r="F47" s="89"/>
      <c r="G47" s="89"/>
      <c r="H47" s="66" t="str">
        <f>VLOOKUP(A47,'Tot KPA'!A:H,8,0)</f>
        <v>Service charges</v>
      </c>
      <c r="I47" s="66" t="str">
        <f>VLOOKUP(A47,'Tot KPA'!A:I,9,0)</f>
        <v>Water</v>
      </c>
    </row>
    <row r="48" spans="1:9" hidden="1" x14ac:dyDescent="0.35">
      <c r="A48" s="66" t="s">
        <v>3416</v>
      </c>
      <c r="B48" s="89"/>
      <c r="C48" s="89"/>
      <c r="D48" s="89"/>
      <c r="E48" s="89"/>
      <c r="F48" s="89"/>
      <c r="G48" s="89"/>
      <c r="H48" s="66" t="str">
        <f>VLOOKUP(A48,'Tot KPA'!A:H,8,0)</f>
        <v>Other revenue</v>
      </c>
      <c r="I48" s="66">
        <f>VLOOKUP(A48,'Tot KPA'!A:I,9,0)</f>
        <v>0</v>
      </c>
    </row>
    <row r="49" spans="1:9" hidden="1" x14ac:dyDescent="0.35">
      <c r="A49" s="66" t="s">
        <v>2828</v>
      </c>
      <c r="B49" s="89"/>
      <c r="C49" s="89"/>
      <c r="D49" s="89"/>
      <c r="E49" s="89"/>
      <c r="F49" s="89"/>
      <c r="G49" s="89"/>
      <c r="H49" s="66" t="str">
        <f>VLOOKUP(A49,'Tot KPA'!A:H,8,0)</f>
        <v>Transfers recognised</v>
      </c>
      <c r="I49" s="66" t="str">
        <f>VLOOKUP(A49,'Tot KPA'!A:I,9,0)</f>
        <v>Capital</v>
      </c>
    </row>
    <row r="50" spans="1:9" hidden="1" x14ac:dyDescent="0.35">
      <c r="A50" s="66" t="s">
        <v>2965</v>
      </c>
      <c r="B50" s="89"/>
      <c r="C50" s="89"/>
      <c r="D50" s="89"/>
      <c r="E50" s="89"/>
      <c r="F50" s="89"/>
      <c r="G50" s="89"/>
      <c r="H50" s="66" t="str">
        <f>VLOOKUP(A50,'Tot KPA'!A:H,8,0)</f>
        <v>Interest earned</v>
      </c>
      <c r="I50" s="66" t="str">
        <f>VLOOKUP(A50,'Tot KPA'!A:I,9,0)</f>
        <v>Outstanding debtors</v>
      </c>
    </row>
    <row r="51" spans="1:9" hidden="1" x14ac:dyDescent="0.35">
      <c r="A51" s="66" t="s">
        <v>2967</v>
      </c>
      <c r="B51" s="89"/>
      <c r="C51" s="89"/>
      <c r="D51" s="89"/>
      <c r="E51" s="89"/>
      <c r="F51" s="89"/>
      <c r="G51" s="89"/>
      <c r="H51" s="66" t="str">
        <f>VLOOKUP(A51,'Tot KPA'!A:H,8,0)</f>
        <v>Interest earned</v>
      </c>
      <c r="I51" s="66" t="str">
        <f>VLOOKUP(A51,'Tot KPA'!A:I,9,0)</f>
        <v>Outstanding debtors</v>
      </c>
    </row>
    <row r="52" spans="1:9" hidden="1" x14ac:dyDescent="0.35">
      <c r="A52" s="66" t="s">
        <v>2968</v>
      </c>
      <c r="B52" s="89"/>
      <c r="C52" s="89"/>
      <c r="D52" s="89"/>
      <c r="E52" s="89"/>
      <c r="F52" s="89"/>
      <c r="G52" s="89"/>
      <c r="H52" s="66" t="str">
        <f>VLOOKUP(A52,'Tot KPA'!A:H,8,0)</f>
        <v>Interest earned</v>
      </c>
      <c r="I52" s="66" t="str">
        <f>VLOOKUP(A52,'Tot KPA'!A:I,9,0)</f>
        <v>Outstanding debtors</v>
      </c>
    </row>
    <row r="53" spans="1:9" hidden="1" x14ac:dyDescent="0.35">
      <c r="A53" s="66" t="s">
        <v>2966</v>
      </c>
      <c r="B53" s="89"/>
      <c r="C53" s="89"/>
      <c r="D53" s="89"/>
      <c r="E53" s="89"/>
      <c r="F53" s="89"/>
      <c r="G53" s="89"/>
      <c r="H53" s="66" t="str">
        <f>VLOOKUP(A53,'Tot KPA'!A:H,8,0)</f>
        <v>Interest earned</v>
      </c>
      <c r="I53" s="66" t="str">
        <f>VLOOKUP(A53,'Tot KPA'!A:I,9,0)</f>
        <v>Outstanding debtors</v>
      </c>
    </row>
    <row r="54" spans="1:9" hidden="1" x14ac:dyDescent="0.35">
      <c r="A54" s="66" t="s">
        <v>2963</v>
      </c>
      <c r="B54" s="89"/>
      <c r="C54" s="89"/>
      <c r="D54" s="89"/>
      <c r="E54" s="89"/>
      <c r="F54" s="89"/>
      <c r="G54" s="89"/>
      <c r="H54" s="66" t="str">
        <f>VLOOKUP(A54,'Tot KPA'!A:H,8,0)</f>
        <v>Interest earned</v>
      </c>
      <c r="I54" s="66" t="str">
        <f>VLOOKUP(A54,'Tot KPA'!A:I,9,0)</f>
        <v>Outstanding debtors</v>
      </c>
    </row>
    <row r="55" spans="1:9" hidden="1" x14ac:dyDescent="0.35">
      <c r="A55" s="66" t="s">
        <v>2964</v>
      </c>
      <c r="B55" s="89"/>
      <c r="C55" s="89"/>
      <c r="D55" s="89"/>
      <c r="E55" s="89"/>
      <c r="F55" s="89"/>
      <c r="G55" s="89"/>
      <c r="H55" s="66" t="str">
        <f>VLOOKUP(A55,'Tot KPA'!A:H,8,0)</f>
        <v>Interest earned</v>
      </c>
      <c r="I55" s="66" t="str">
        <f>VLOOKUP(A55,'Tot KPA'!A:I,9,0)</f>
        <v>Outstanding debtors</v>
      </c>
    </row>
    <row r="56" spans="1:9" hidden="1" x14ac:dyDescent="0.35">
      <c r="A56" s="66" t="s">
        <v>2838</v>
      </c>
      <c r="B56" s="89"/>
      <c r="C56" s="89"/>
      <c r="D56" s="89"/>
      <c r="E56" s="89"/>
      <c r="F56" s="89"/>
      <c r="G56" s="89"/>
      <c r="H56" s="66" t="str">
        <f>VLOOKUP(A56,'Tot KPA'!A:H,8,0)</f>
        <v>Interest earned</v>
      </c>
      <c r="I56" s="66" t="str">
        <f>VLOOKUP(A56,'Tot KPA'!A:I,9,0)</f>
        <v>External investments</v>
      </c>
    </row>
    <row r="57" spans="1:9" hidden="1" x14ac:dyDescent="0.35">
      <c r="A57" s="66" t="s">
        <v>2976</v>
      </c>
      <c r="B57" s="89"/>
      <c r="C57" s="89"/>
      <c r="D57" s="89"/>
      <c r="E57" s="89"/>
      <c r="F57" s="89"/>
      <c r="G57" s="89"/>
      <c r="H57" s="66" t="str">
        <f>VLOOKUP(A57,'Tot KPA'!A:H,8,0)</f>
        <v>Other revenue</v>
      </c>
      <c r="I57" s="66">
        <f>VLOOKUP(A57,'Tot KPA'!A:I,9,0)</f>
        <v>0</v>
      </c>
    </row>
    <row r="58" spans="1:9" hidden="1" x14ac:dyDescent="0.35">
      <c r="A58" s="66" t="s">
        <v>2889</v>
      </c>
      <c r="B58" s="89"/>
      <c r="C58" s="89"/>
      <c r="D58" s="89"/>
      <c r="E58" s="89"/>
      <c r="F58" s="89"/>
      <c r="G58" s="89"/>
      <c r="H58" s="66" t="str">
        <f>VLOOKUP(A58,'Tot KPA'!A:H,8,0)</f>
        <v xml:space="preserve">Fines </v>
      </c>
      <c r="I58" s="66">
        <f>VLOOKUP(A58,'Tot KPA'!A:I,9,0)</f>
        <v>0</v>
      </c>
    </row>
    <row r="59" spans="1:9" hidden="1" x14ac:dyDescent="0.35">
      <c r="A59" s="66" t="s">
        <v>2888</v>
      </c>
      <c r="B59" s="89"/>
      <c r="C59" s="89"/>
      <c r="D59" s="89"/>
      <c r="E59" s="89"/>
      <c r="F59" s="89"/>
      <c r="G59" s="89"/>
      <c r="H59" s="66" t="str">
        <f>VLOOKUP(A59,'Tot KPA'!A:H,8,0)</f>
        <v>Transfers recognised</v>
      </c>
      <c r="I59" s="66" t="str">
        <f>VLOOKUP(A59,'Tot KPA'!A:I,9,0)</f>
        <v>Operational</v>
      </c>
    </row>
    <row r="60" spans="1:9" hidden="1" x14ac:dyDescent="0.35">
      <c r="A60" s="66" t="s">
        <v>2982</v>
      </c>
      <c r="B60" s="89"/>
      <c r="C60" s="89"/>
      <c r="D60" s="89"/>
      <c r="E60" s="89"/>
      <c r="F60" s="89"/>
      <c r="G60" s="89"/>
      <c r="H60" s="66" t="str">
        <f>VLOOKUP(A60,'Tot KPA'!A:H,8,0)</f>
        <v>Rental of facilities and equipment</v>
      </c>
      <c r="I60" s="66">
        <f>VLOOKUP(A60,'Tot KPA'!A:I,9,0)</f>
        <v>0</v>
      </c>
    </row>
    <row r="61" spans="1:9" hidden="1" x14ac:dyDescent="0.35">
      <c r="A61" s="66" t="s">
        <v>2839</v>
      </c>
      <c r="B61" s="89"/>
      <c r="C61" s="89"/>
      <c r="D61" s="89"/>
      <c r="E61" s="89"/>
      <c r="F61" s="89"/>
      <c r="G61" s="89"/>
      <c r="H61" s="66" t="str">
        <f>VLOOKUP(A61,'Tot KPA'!A:H,8,0)</f>
        <v>Other revenue</v>
      </c>
      <c r="I61" s="66">
        <f>VLOOKUP(A61,'Tot KPA'!A:I,9,0)</f>
        <v>0</v>
      </c>
    </row>
    <row r="62" spans="1:9" hidden="1" x14ac:dyDescent="0.35">
      <c r="A62" s="66" t="s">
        <v>2824</v>
      </c>
      <c r="B62" s="89"/>
      <c r="C62" s="89"/>
      <c r="D62" s="89"/>
      <c r="E62" s="89"/>
      <c r="F62" s="89"/>
      <c r="G62" s="89"/>
      <c r="H62" s="66" t="str">
        <f>VLOOKUP(A62,'Tot KPA'!A:H,8,0)</f>
        <v>Other revenue</v>
      </c>
      <c r="I62" s="66">
        <f>VLOOKUP(A62,'Tot KPA'!A:I,9,0)</f>
        <v>0</v>
      </c>
    </row>
    <row r="63" spans="1:9" hidden="1" x14ac:dyDescent="0.35">
      <c r="A63" s="66" t="s">
        <v>3046</v>
      </c>
      <c r="B63" s="89"/>
      <c r="C63" s="89"/>
      <c r="D63" s="89"/>
      <c r="E63" s="89"/>
      <c r="F63" s="89"/>
      <c r="G63" s="89"/>
      <c r="H63" s="66" t="str">
        <f>VLOOKUP(A63,'Tot KPA'!A:H,8,0)</f>
        <v>Agency services</v>
      </c>
      <c r="I63" s="66">
        <f>VLOOKUP(A63,'Tot KPA'!A:I,9,0)</f>
        <v>0</v>
      </c>
    </row>
    <row r="64" spans="1:9" hidden="1" x14ac:dyDescent="0.35">
      <c r="A64" s="66" t="s">
        <v>2827</v>
      </c>
      <c r="B64" s="89"/>
      <c r="C64" s="89"/>
      <c r="D64" s="89"/>
      <c r="E64" s="89"/>
      <c r="F64" s="89"/>
      <c r="G64" s="89"/>
      <c r="H64" s="66" t="str">
        <f>VLOOKUP(A64,'Tot KPA'!A:H,8,0)</f>
        <v>Transfers recognised</v>
      </c>
      <c r="I64" s="66" t="str">
        <f>VLOOKUP(A64,'Tot KPA'!A:I,9,0)</f>
        <v>Operational</v>
      </c>
    </row>
    <row r="65" spans="1:9" hidden="1" x14ac:dyDescent="0.35">
      <c r="A65" s="66" t="s">
        <v>2829</v>
      </c>
      <c r="B65" s="89"/>
      <c r="C65" s="89"/>
      <c r="D65" s="89"/>
      <c r="E65" s="89"/>
      <c r="F65" s="89"/>
      <c r="G65" s="89"/>
      <c r="H65" s="66" t="str">
        <f>VLOOKUP(A65,'Tot KPA'!A:H,8,0)</f>
        <v>Transfers recognised</v>
      </c>
      <c r="I65" s="66" t="str">
        <f>VLOOKUP(A65,'Tot KPA'!A:I,9,0)</f>
        <v>Capital</v>
      </c>
    </row>
    <row r="66" spans="1:9" hidden="1" x14ac:dyDescent="0.35">
      <c r="A66" s="66" t="s">
        <v>3415</v>
      </c>
      <c r="B66" s="89"/>
      <c r="C66" s="89"/>
      <c r="D66" s="89"/>
      <c r="E66" s="89"/>
      <c r="F66" s="89"/>
      <c r="G66" s="89"/>
      <c r="H66" s="66" t="str">
        <f>VLOOKUP(A66,'Tot KPA'!A:H,8,0)</f>
        <v xml:space="preserve">Service charges </v>
      </c>
      <c r="I66" s="66" t="str">
        <f>VLOOKUP(A66,'Tot KPA'!A:I,9,0)</f>
        <v>Electricity</v>
      </c>
    </row>
    <row r="67" spans="1:9" hidden="1" x14ac:dyDescent="0.35">
      <c r="A67" s="66" t="s">
        <v>3484</v>
      </c>
      <c r="B67" s="89"/>
      <c r="C67" s="89"/>
      <c r="D67" s="89"/>
      <c r="E67" s="89"/>
      <c r="F67" s="89"/>
      <c r="G67" s="89"/>
      <c r="H67" s="66" t="str">
        <f>VLOOKUP(A67,'Tot KPA'!A:H,8,0)</f>
        <v xml:space="preserve">Service charges </v>
      </c>
      <c r="I67" s="66" t="str">
        <f>VLOOKUP(A67,'Tot KPA'!A:I,9,0)</f>
        <v>Electricity</v>
      </c>
    </row>
    <row r="68" spans="1:9" hidden="1" x14ac:dyDescent="0.35">
      <c r="A68" s="66" t="s">
        <v>3480</v>
      </c>
      <c r="B68" s="89"/>
      <c r="C68" s="89"/>
      <c r="D68" s="89"/>
      <c r="E68" s="89"/>
      <c r="F68" s="89"/>
      <c r="G68" s="89"/>
      <c r="H68" s="66" t="str">
        <f>VLOOKUP(A68,'Tot KPA'!A:H,8,0)</f>
        <v xml:space="preserve">Service charges </v>
      </c>
      <c r="I68" s="66" t="str">
        <f>VLOOKUP(A68,'Tot KPA'!A:I,9,0)</f>
        <v>Electricity</v>
      </c>
    </row>
    <row r="69" spans="1:9" hidden="1" x14ac:dyDescent="0.35">
      <c r="A69" s="66" t="s">
        <v>3485</v>
      </c>
      <c r="B69" s="89"/>
      <c r="C69" s="89"/>
      <c r="D69" s="89"/>
      <c r="E69" s="89"/>
      <c r="F69" s="89"/>
      <c r="G69" s="89"/>
      <c r="H69" s="66" t="str">
        <f>VLOOKUP(A69,'Tot KPA'!A:H,8,0)</f>
        <v>Other revenue</v>
      </c>
      <c r="I69" s="66" t="str">
        <f>VLOOKUP(A69,'Tot KPA'!A:I,9,0)</f>
        <v xml:space="preserve">None </v>
      </c>
    </row>
    <row r="70" spans="1:9" hidden="1" x14ac:dyDescent="0.35">
      <c r="A70" s="66" t="s">
        <v>3483</v>
      </c>
      <c r="B70" s="89"/>
      <c r="C70" s="89"/>
      <c r="D70" s="89"/>
      <c r="E70" s="89"/>
      <c r="F70" s="89"/>
      <c r="G70" s="89"/>
      <c r="H70" s="66" t="str">
        <f>VLOOKUP(A70,'Tot KPA'!A:H,8,0)</f>
        <v>Service charges</v>
      </c>
      <c r="I70" s="66" t="str">
        <f>VLOOKUP(A70,'Tot KPA'!A:I,9,0)</f>
        <v xml:space="preserve">None </v>
      </c>
    </row>
    <row r="71" spans="1:9" hidden="1" x14ac:dyDescent="0.35">
      <c r="A71" s="66" t="s">
        <v>3482</v>
      </c>
      <c r="B71" s="89"/>
      <c r="C71" s="89"/>
      <c r="D71" s="89"/>
      <c r="E71" s="89"/>
      <c r="F71" s="89"/>
      <c r="G71" s="89"/>
      <c r="H71" s="66" t="str">
        <f>VLOOKUP(A71,'Tot KPA'!A:H,8,0)</f>
        <v>Service charges</v>
      </c>
      <c r="I71" s="66" t="str">
        <f>VLOOKUP(A71,'Tot KPA'!A:I,9,0)</f>
        <v xml:space="preserve">None </v>
      </c>
    </row>
    <row r="72" spans="1:9" hidden="1" x14ac:dyDescent="0.35">
      <c r="A72" s="66" t="s">
        <v>3481</v>
      </c>
      <c r="B72" s="89"/>
      <c r="C72" s="89"/>
      <c r="D72" s="89"/>
      <c r="E72" s="89"/>
      <c r="F72" s="89"/>
      <c r="G72" s="89"/>
      <c r="H72" s="66" t="str">
        <f>VLOOKUP(A72,'Tot KPA'!A:H,8,0)</f>
        <v xml:space="preserve">Service charges </v>
      </c>
      <c r="I72" s="66" t="str">
        <f>VLOOKUP(A72,'Tot KPA'!A:I,9,0)</f>
        <v>Water</v>
      </c>
    </row>
    <row r="73" spans="1:9" hidden="1" x14ac:dyDescent="0.35">
      <c r="A73" s="66" t="s">
        <v>2971</v>
      </c>
      <c r="B73" s="89"/>
      <c r="C73" s="89"/>
      <c r="D73" s="89"/>
      <c r="E73" s="89"/>
      <c r="F73" s="89"/>
      <c r="G73" s="89"/>
      <c r="H73" s="66" t="str">
        <f>VLOOKUP(A73,'Tot KPA'!A:H,8,0)</f>
        <v>Other revenue</v>
      </c>
      <c r="I73" s="66">
        <f>VLOOKUP(A73,'Tot KPA'!A:I,9,0)</f>
        <v>0</v>
      </c>
    </row>
    <row r="74" spans="1:9" hidden="1" x14ac:dyDescent="0.35">
      <c r="A74" s="66" t="s">
        <v>2840</v>
      </c>
      <c r="B74" s="89"/>
      <c r="C74" s="89"/>
      <c r="D74" s="89"/>
      <c r="E74" s="89"/>
      <c r="F74" s="89"/>
      <c r="G74" s="89"/>
      <c r="H74" s="66" t="str">
        <f>VLOOKUP(A74,'Tot KPA'!A:H,8,0)</f>
        <v>Agency services</v>
      </c>
      <c r="I74" s="66">
        <f>VLOOKUP(A74,'Tot KPA'!A:I,9,0)</f>
        <v>0</v>
      </c>
    </row>
    <row r="75" spans="1:9" hidden="1" x14ac:dyDescent="0.35">
      <c r="A75" s="66" t="s">
        <v>153</v>
      </c>
      <c r="B75" s="89"/>
      <c r="C75" s="89"/>
      <c r="D75" s="89"/>
      <c r="E75" s="89"/>
      <c r="F75" s="89"/>
      <c r="G75" s="89"/>
      <c r="H75" s="66" t="str">
        <f>VLOOKUP(A75,'Tot KPA'!A:H,8,0)</f>
        <v>Agency services</v>
      </c>
      <c r="I75" s="66">
        <f>VLOOKUP(A75,'Tot KPA'!A:I,9,0)</f>
        <v>0</v>
      </c>
    </row>
    <row r="76" spans="1:9" hidden="1" x14ac:dyDescent="0.35">
      <c r="A76" s="66" t="s">
        <v>2897</v>
      </c>
      <c r="B76" s="89"/>
      <c r="C76" s="89"/>
      <c r="D76" s="89"/>
      <c r="E76" s="89"/>
      <c r="F76" s="89"/>
      <c r="G76" s="89"/>
      <c r="H76" s="66" t="str">
        <f>VLOOKUP(A76,'Tot KPA'!A:H,8,0)</f>
        <v>Other revenue</v>
      </c>
      <c r="I76" s="66">
        <f>VLOOKUP(A76,'Tot KPA'!A:I,9,0)</f>
        <v>0</v>
      </c>
    </row>
    <row r="77" spans="1:9" hidden="1" x14ac:dyDescent="0.35">
      <c r="A77" s="66" t="s">
        <v>2972</v>
      </c>
      <c r="B77" s="89"/>
      <c r="C77" s="89"/>
      <c r="D77" s="89"/>
      <c r="E77" s="89"/>
      <c r="F77" s="89"/>
      <c r="G77" s="89"/>
      <c r="H77" s="66" t="str">
        <f>VLOOKUP(A77,'Tot KPA'!A:H,8,0)</f>
        <v>Transfers</v>
      </c>
      <c r="I77" s="66">
        <f>VLOOKUP(A77,'Tot KPA'!A:I,9,0)</f>
        <v>0</v>
      </c>
    </row>
    <row r="78" spans="1:9" hidden="1" x14ac:dyDescent="0.35">
      <c r="A78" s="66" t="s">
        <v>2938</v>
      </c>
      <c r="B78" s="89"/>
      <c r="C78" s="89"/>
      <c r="D78" s="89"/>
      <c r="E78" s="89"/>
      <c r="F78" s="89"/>
      <c r="G78" s="89"/>
      <c r="H78" s="66" t="str">
        <f>VLOOKUP(A78,'Tot KPA'!A:H,8,0)</f>
        <v>Other revenue</v>
      </c>
      <c r="I78" s="66">
        <f>VLOOKUP(A78,'Tot KPA'!A:I,9,0)</f>
        <v>0</v>
      </c>
    </row>
    <row r="79" spans="1:9" hidden="1" x14ac:dyDescent="0.35">
      <c r="A79" s="66" t="s">
        <v>2948</v>
      </c>
      <c r="B79" s="89"/>
      <c r="C79" s="89"/>
      <c r="D79" s="89"/>
      <c r="E79" s="89"/>
      <c r="F79" s="89"/>
      <c r="G79" s="89"/>
      <c r="H79" s="66" t="str">
        <f>VLOOKUP(A79,'Tot KPA'!A:H,8,0)</f>
        <v>Property rates</v>
      </c>
      <c r="I79" s="66" t="str">
        <f>VLOOKUP(A79,'Tot KPA'!A:I,9,0)</f>
        <v>Rebates</v>
      </c>
    </row>
    <row r="80" spans="1:9" hidden="1" x14ac:dyDescent="0.35">
      <c r="A80" s="66" t="s">
        <v>2939</v>
      </c>
      <c r="B80" s="89"/>
      <c r="C80" s="89"/>
      <c r="D80" s="89"/>
      <c r="E80" s="89"/>
      <c r="F80" s="89"/>
      <c r="G80" s="89"/>
      <c r="H80" s="66" t="str">
        <f>VLOOKUP(A80,'Tot KPA'!A:H,8,0)</f>
        <v>Property rates</v>
      </c>
      <c r="I80" s="66">
        <f>VLOOKUP(A80,'Tot KPA'!A:I,9,0)</f>
        <v>0</v>
      </c>
    </row>
    <row r="81" spans="1:12" hidden="1" x14ac:dyDescent="0.35">
      <c r="A81" s="66" t="s">
        <v>2947</v>
      </c>
      <c r="B81" s="89"/>
      <c r="C81" s="89"/>
      <c r="D81" s="89"/>
      <c r="E81" s="89"/>
      <c r="F81" s="89"/>
      <c r="G81" s="89"/>
      <c r="H81" s="66" t="str">
        <f>VLOOKUP(A81,'Tot KPA'!A:H,8,0)</f>
        <v>Property rates</v>
      </c>
      <c r="I81" s="66" t="str">
        <f>VLOOKUP(A81,'Tot KPA'!A:I,9,0)</f>
        <v>Rebates</v>
      </c>
    </row>
    <row r="82" spans="1:12" hidden="1" x14ac:dyDescent="0.35">
      <c r="A82" s="66" t="s">
        <v>3070</v>
      </c>
      <c r="B82" s="89"/>
      <c r="C82" s="89"/>
      <c r="D82" s="89"/>
      <c r="E82" s="89"/>
      <c r="F82" s="89"/>
      <c r="G82" s="89"/>
      <c r="H82" s="66" t="str">
        <f>VLOOKUP(A82,'Tot KPA'!A:H,8,0)</f>
        <v>Property rates</v>
      </c>
      <c r="I82" s="66" t="str">
        <f>VLOOKUP(A82,'Tot KPA'!A:I,9,0)</f>
        <v>Rebates</v>
      </c>
    </row>
    <row r="83" spans="1:12" hidden="1" x14ac:dyDescent="0.35">
      <c r="A83" s="66" t="s">
        <v>3514</v>
      </c>
      <c r="B83" s="89"/>
      <c r="C83" s="89"/>
      <c r="D83" s="89"/>
      <c r="E83" s="89"/>
      <c r="F83" s="89"/>
      <c r="G83" s="89"/>
      <c r="H83" s="66"/>
      <c r="I83" s="66"/>
    </row>
    <row r="84" spans="1:12" hidden="1" x14ac:dyDescent="0.35">
      <c r="A84" s="66" t="s">
        <v>3069</v>
      </c>
      <c r="B84" s="89"/>
      <c r="C84" s="89"/>
      <c r="D84" s="89"/>
      <c r="E84" s="89"/>
      <c r="F84" s="89"/>
      <c r="G84" s="89"/>
      <c r="H84" s="66" t="str">
        <f>VLOOKUP(A84,'Tot KPA'!A:H,8,0)</f>
        <v>Property rates</v>
      </c>
      <c r="I84" s="66" t="str">
        <f>VLOOKUP(A84,'Tot KPA'!A:I,9,0)</f>
        <v>Rebates</v>
      </c>
    </row>
    <row r="85" spans="1:12" hidden="1" x14ac:dyDescent="0.35">
      <c r="A85" s="66" t="s">
        <v>2946</v>
      </c>
      <c r="B85" s="89"/>
      <c r="C85" s="89"/>
      <c r="D85" s="89"/>
      <c r="E85" s="89"/>
      <c r="F85" s="89"/>
      <c r="G85" s="89"/>
      <c r="H85" s="66" t="str">
        <f>VLOOKUP(A85,'Tot KPA'!A:H,8,0)</f>
        <v>Property rates</v>
      </c>
      <c r="I85" s="66" t="str">
        <f>VLOOKUP(A85,'Tot KPA'!A:I,9,0)</f>
        <v>Rebates</v>
      </c>
    </row>
    <row r="86" spans="1:12" hidden="1" x14ac:dyDescent="0.35">
      <c r="A86" s="66" t="s">
        <v>2975</v>
      </c>
      <c r="B86" s="89"/>
      <c r="C86" s="89"/>
      <c r="D86" s="89"/>
      <c r="E86" s="89"/>
      <c r="F86" s="89"/>
      <c r="G86" s="89"/>
      <c r="H86" s="66" t="str">
        <f>VLOOKUP(A86,'Tot KPA'!A:H,8,0)</f>
        <v>Other revenue</v>
      </c>
      <c r="I86" s="66">
        <f>VLOOKUP(A86,'Tot KPA'!A:I,9,0)</f>
        <v>0</v>
      </c>
    </row>
    <row r="87" spans="1:12" hidden="1" x14ac:dyDescent="0.35">
      <c r="A87" s="66" t="s">
        <v>3516</v>
      </c>
      <c r="B87" s="89"/>
      <c r="C87" s="89"/>
      <c r="D87" s="89"/>
      <c r="E87" s="89"/>
      <c r="F87" s="89"/>
      <c r="G87" s="89"/>
      <c r="H87" s="66" t="str">
        <f>VLOOKUP(A87,'Tot KPA'!A:H,8,0)</f>
        <v>Service charges</v>
      </c>
      <c r="I87" s="66" t="str">
        <f>VLOOKUP(A87,'Tot KPA'!A:I,9,0)</f>
        <v>Refuse</v>
      </c>
      <c r="L87" s="130"/>
    </row>
    <row r="88" spans="1:12" hidden="1" x14ac:dyDescent="0.35">
      <c r="A88" s="66" t="s">
        <v>3515</v>
      </c>
      <c r="B88" s="89"/>
      <c r="C88" s="89"/>
      <c r="D88" s="89"/>
      <c r="E88" s="89"/>
      <c r="F88" s="89"/>
      <c r="G88" s="89"/>
      <c r="H88" s="66" t="str">
        <f>VLOOKUP(A88,'Tot KPA'!A:H,8,0)</f>
        <v>Service charges</v>
      </c>
      <c r="I88" s="66" t="str">
        <f>VLOOKUP(A88,'Tot KPA'!A:I,9,0)</f>
        <v>Refuse</v>
      </c>
      <c r="L88" s="130"/>
    </row>
    <row r="89" spans="1:12" hidden="1" x14ac:dyDescent="0.35">
      <c r="A89" s="66" t="s">
        <v>2830</v>
      </c>
      <c r="B89" s="89">
        <v>0</v>
      </c>
      <c r="C89" s="89"/>
      <c r="D89" s="89"/>
      <c r="E89" s="89"/>
      <c r="F89" s="89"/>
      <c r="G89" s="89"/>
      <c r="H89" s="66" t="str">
        <f>VLOOKUP(A89,'Tot KPA'!A:H,8,0)</f>
        <v>Transfers recognised</v>
      </c>
      <c r="I89" s="66" t="str">
        <f>VLOOKUP(A89,'Tot KPA'!A:I,9,0)</f>
        <v>Capital</v>
      </c>
    </row>
    <row r="90" spans="1:12" hidden="1" x14ac:dyDescent="0.35">
      <c r="A90" s="66" t="s">
        <v>2873</v>
      </c>
      <c r="B90" s="89">
        <v>0</v>
      </c>
      <c r="C90" s="89"/>
      <c r="D90" s="89"/>
      <c r="E90" s="89"/>
      <c r="F90" s="89"/>
      <c r="G90" s="89"/>
      <c r="H90" s="66" t="str">
        <f>VLOOKUP(A90,'Tot KPA'!A:H,8,0)</f>
        <v>Rental of facilities and equipment</v>
      </c>
      <c r="I90" s="66">
        <f>VLOOKUP(A90,'Tot KPA'!A:I,9,0)</f>
        <v>0</v>
      </c>
    </row>
    <row r="91" spans="1:12" hidden="1" x14ac:dyDescent="0.35">
      <c r="A91" s="66" t="s">
        <v>2937</v>
      </c>
      <c r="B91" s="89">
        <v>0</v>
      </c>
      <c r="C91" s="89"/>
      <c r="D91" s="89"/>
      <c r="E91" s="89"/>
      <c r="F91" s="89"/>
      <c r="G91" s="89"/>
      <c r="H91" s="66" t="str">
        <f>VLOOKUP(A91,'Tot KPA'!A:H,8,0)</f>
        <v>Other revenue</v>
      </c>
      <c r="I91" s="66">
        <f>VLOOKUP(A91,'Tot KPA'!A:I,9,0)</f>
        <v>0</v>
      </c>
    </row>
    <row r="92" spans="1:12" hidden="1" x14ac:dyDescent="0.35">
      <c r="A92" s="66" t="s">
        <v>2935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66" t="str">
        <f>VLOOKUP(A92,'Tot KPA'!A:H,8,0)</f>
        <v>Other revenue</v>
      </c>
      <c r="I92" s="66">
        <f>VLOOKUP(A92,'Tot KPA'!A:I,9,0)</f>
        <v>0</v>
      </c>
    </row>
    <row r="93" spans="1:12" hidden="1" x14ac:dyDescent="0.35">
      <c r="A93" s="66" t="s">
        <v>2898</v>
      </c>
      <c r="B93" s="89">
        <v>0</v>
      </c>
      <c r="C93" s="89">
        <v>0</v>
      </c>
      <c r="D93" s="89">
        <v>0</v>
      </c>
      <c r="E93" s="89">
        <v>0</v>
      </c>
      <c r="F93" s="89">
        <v>0</v>
      </c>
      <c r="G93" s="89">
        <v>0</v>
      </c>
      <c r="H93" s="66" t="str">
        <f>VLOOKUP(A93,'Tot KPA'!A:H,8,0)</f>
        <v>Other revenue</v>
      </c>
      <c r="I93" s="66">
        <f>VLOOKUP(A93,'Tot KPA'!A:I,9,0)</f>
        <v>0</v>
      </c>
    </row>
    <row r="94" spans="1:12" hidden="1" x14ac:dyDescent="0.35">
      <c r="A94" s="66" t="s">
        <v>2841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66" t="str">
        <f>VLOOKUP(A94,'Tot KPA'!A:H,8,0)</f>
        <v>Other revenue</v>
      </c>
      <c r="I94" s="66">
        <f>VLOOKUP(A94,'Tot KPA'!A:I,9,0)</f>
        <v>0</v>
      </c>
    </row>
    <row r="95" spans="1:12" hidden="1" x14ac:dyDescent="0.35">
      <c r="A95" s="66" t="s">
        <v>2945</v>
      </c>
      <c r="B95" s="89">
        <v>0</v>
      </c>
      <c r="C95" s="89">
        <v>0</v>
      </c>
      <c r="D95" s="89">
        <v>0</v>
      </c>
      <c r="E95" s="89">
        <v>0</v>
      </c>
      <c r="F95" s="89">
        <v>0</v>
      </c>
      <c r="G95" s="89">
        <v>0</v>
      </c>
      <c r="H95" s="66" t="str">
        <f>VLOOKUP(A95,'Tot KPA'!A:H,8,0)</f>
        <v>Service charges</v>
      </c>
      <c r="I95" s="66" t="str">
        <f>VLOOKUP(A95,'Tot KPA'!A:I,9,0)</f>
        <v>Sanitation</v>
      </c>
    </row>
    <row r="96" spans="1:12" hidden="1" x14ac:dyDescent="0.35">
      <c r="A96" s="66" t="s">
        <v>3521</v>
      </c>
      <c r="B96" s="89">
        <v>0</v>
      </c>
      <c r="C96" s="89">
        <v>0</v>
      </c>
      <c r="D96" s="89"/>
      <c r="E96" s="89"/>
      <c r="F96" s="89"/>
      <c r="G96" s="89"/>
      <c r="H96" s="66" t="str">
        <f>VLOOKUP(A96,'Tot KPA'!A:H,8,0)</f>
        <v>Service charges</v>
      </c>
      <c r="I96" s="66" t="str">
        <f>VLOOKUP(A96,'Tot KPA'!A:I,9,0)</f>
        <v>Sanitation</v>
      </c>
    </row>
    <row r="97" spans="1:9" hidden="1" x14ac:dyDescent="0.35">
      <c r="A97" s="66" t="s">
        <v>3522</v>
      </c>
      <c r="B97" s="89"/>
      <c r="C97" s="89"/>
      <c r="D97" s="89"/>
      <c r="E97" s="89"/>
      <c r="F97" s="89"/>
      <c r="G97" s="89"/>
      <c r="H97" s="66" t="str">
        <f>VLOOKUP(A97,'Tot KPA'!A:H,8,0)</f>
        <v>Service charges</v>
      </c>
      <c r="I97" s="66" t="str">
        <f>VLOOKUP(A97,'Tot KPA'!A:I,9,0)</f>
        <v>Sanitation</v>
      </c>
    </row>
    <row r="98" spans="1:9" hidden="1" x14ac:dyDescent="0.35">
      <c r="A98" s="66" t="s">
        <v>3523</v>
      </c>
      <c r="B98" s="89"/>
      <c r="C98" s="89"/>
      <c r="D98" s="89"/>
      <c r="E98" s="89"/>
      <c r="F98" s="89"/>
      <c r="G98" s="89"/>
      <c r="H98" s="66" t="str">
        <f>VLOOKUP(A98,'Tot KPA'!A:H,8,0)</f>
        <v>Service charges</v>
      </c>
      <c r="I98" s="66" t="str">
        <f>VLOOKUP(A98,'Tot KPA'!A:I,9,0)</f>
        <v>Sanitation</v>
      </c>
    </row>
    <row r="99" spans="1:9" hidden="1" x14ac:dyDescent="0.35">
      <c r="A99" s="66" t="s">
        <v>3071</v>
      </c>
      <c r="B99" s="89"/>
      <c r="C99" s="89"/>
      <c r="D99" s="89"/>
      <c r="E99" s="89"/>
      <c r="F99" s="89"/>
      <c r="G99" s="89"/>
      <c r="H99" s="66" t="str">
        <f>VLOOKUP(A99,'Tot KPA'!A:H,8,0)</f>
        <v>Other revenue/transfers</v>
      </c>
      <c r="I99" s="66">
        <f>VLOOKUP(A99,'Tot KPA'!A:I,9,0)</f>
        <v>0</v>
      </c>
    </row>
    <row r="100" spans="1:9" hidden="1" x14ac:dyDescent="0.35">
      <c r="A100" s="66" t="s">
        <v>2867</v>
      </c>
      <c r="B100" s="89">
        <v>0</v>
      </c>
      <c r="C100" s="89">
        <v>0</v>
      </c>
      <c r="D100" s="89">
        <v>0</v>
      </c>
      <c r="E100" s="89">
        <v>0</v>
      </c>
      <c r="F100" s="89">
        <v>0</v>
      </c>
      <c r="G100" s="89">
        <v>0</v>
      </c>
      <c r="H100" s="66" t="str">
        <f>VLOOKUP(A100,'Tot KPA'!A:H,8,0)</f>
        <v>Rental of facilities and equipment</v>
      </c>
      <c r="I100" s="66">
        <f>VLOOKUP(A100,'Tot KPA'!A:I,9,0)</f>
        <v>0</v>
      </c>
    </row>
    <row r="101" spans="1:9" hidden="1" x14ac:dyDescent="0.35">
      <c r="A101" s="66" t="s">
        <v>2868</v>
      </c>
      <c r="B101" s="89">
        <v>0</v>
      </c>
      <c r="C101" s="89">
        <v>0</v>
      </c>
      <c r="D101" s="89">
        <v>0</v>
      </c>
      <c r="E101" s="89">
        <v>0</v>
      </c>
      <c r="F101" s="89">
        <v>0</v>
      </c>
      <c r="G101" s="89">
        <v>0</v>
      </c>
      <c r="H101" s="66" t="str">
        <f>VLOOKUP(A101,'Tot KPA'!A:H,8,0)</f>
        <v>Rental of facilities and equipment</v>
      </c>
      <c r="I101" s="66">
        <f>VLOOKUP(A101,'Tot KPA'!A:I,9,0)</f>
        <v>0</v>
      </c>
    </row>
    <row r="102" spans="1:9" hidden="1" x14ac:dyDescent="0.35">
      <c r="A102" s="66" t="s">
        <v>2869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str">
        <f>VLOOKUP(A102,'Tot KPA'!A:H,8,0)</f>
        <v>Rental of facilities and equipment</v>
      </c>
      <c r="I102" s="66">
        <f>VLOOKUP(A102,'Tot KPA'!A:I,9,0)</f>
        <v>0</v>
      </c>
    </row>
    <row r="103" spans="1:9" hidden="1" x14ac:dyDescent="0.35">
      <c r="A103" s="66" t="s">
        <v>2866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Rental of facilities and equipment</v>
      </c>
      <c r="I103" s="66">
        <f>VLOOKUP(A103,'Tot KPA'!A:I,9,0)</f>
        <v>0</v>
      </c>
    </row>
    <row r="104" spans="1:9" hidden="1" x14ac:dyDescent="0.35">
      <c r="A104" s="66" t="s">
        <v>2870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Rental of facilities and equipment</v>
      </c>
      <c r="I104" s="66">
        <f>VLOOKUP(A104,'Tot KPA'!A:I,9,0)</f>
        <v>0</v>
      </c>
    </row>
    <row r="105" spans="1:9" hidden="1" x14ac:dyDescent="0.35">
      <c r="A105" s="66" t="s">
        <v>2842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Other revenue</v>
      </c>
      <c r="I105" s="66">
        <f>VLOOKUP(A105,'Tot KPA'!A:I,9,0)</f>
        <v>0</v>
      </c>
    </row>
    <row r="106" spans="1:9" hidden="1" x14ac:dyDescent="0.35">
      <c r="A106" s="66" t="s">
        <v>2843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revenue</v>
      </c>
      <c r="I106" s="66">
        <f>VLOOKUP(A106,'Tot KPA'!A:I,9,0)</f>
        <v>0</v>
      </c>
    </row>
    <row r="107" spans="1:9" hidden="1" x14ac:dyDescent="0.35">
      <c r="A107" s="66" t="s">
        <v>2973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Other revenue</v>
      </c>
      <c r="I107" s="66">
        <f>VLOOKUP(A107,'Tot KPA'!A:I,9,0)</f>
        <v>0</v>
      </c>
    </row>
    <row r="108" spans="1:9" hidden="1" x14ac:dyDescent="0.35">
      <c r="A108" s="66" t="s">
        <v>2969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revenue</v>
      </c>
      <c r="I108" s="66">
        <f>VLOOKUP(A108,'Tot KPA'!A:I,9,0)</f>
        <v>0</v>
      </c>
    </row>
    <row r="109" spans="1:9" hidden="1" x14ac:dyDescent="0.35">
      <c r="A109" s="66" t="s">
        <v>2944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Fines</v>
      </c>
      <c r="I109" s="66">
        <f>VLOOKUP(A109,'Tot KPA'!A:I,9,0)</f>
        <v>0</v>
      </c>
    </row>
    <row r="110" spans="1:9" hidden="1" x14ac:dyDescent="0.35">
      <c r="A110" s="66" t="s">
        <v>2943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Service charges</v>
      </c>
      <c r="I110" s="66" t="str">
        <f>VLOOKUP(A110,'Tot KPA'!A:I,9,0)</f>
        <v>Water</v>
      </c>
    </row>
    <row r="111" spans="1:9" hidden="1" x14ac:dyDescent="0.35">
      <c r="A111" s="66" t="s">
        <v>2831</v>
      </c>
      <c r="B111" s="89">
        <v>0</v>
      </c>
      <c r="C111" s="89">
        <v>0</v>
      </c>
      <c r="D111" s="89">
        <v>0</v>
      </c>
      <c r="E111" s="89">
        <v>0</v>
      </c>
      <c r="F111" s="89">
        <v>0</v>
      </c>
      <c r="G111" s="89">
        <v>0</v>
      </c>
      <c r="H111" s="66" t="str">
        <f>VLOOKUP(A111,'Tot KPA'!A:H,8,0)</f>
        <v>Transfers recognised</v>
      </c>
      <c r="I111" s="66" t="str">
        <f>VLOOKUP(A111,'Tot KPA'!A:I,9,0)</f>
        <v>Capital</v>
      </c>
    </row>
    <row r="112" spans="1:9" hidden="1" x14ac:dyDescent="0.35">
      <c r="A112" s="66" t="s">
        <v>2940</v>
      </c>
      <c r="B112" s="89">
        <v>0</v>
      </c>
      <c r="C112" s="89">
        <v>0</v>
      </c>
      <c r="D112" s="89">
        <v>0</v>
      </c>
      <c r="E112" s="89">
        <v>0</v>
      </c>
      <c r="F112" s="89">
        <v>0</v>
      </c>
      <c r="G112" s="89">
        <v>0</v>
      </c>
      <c r="H112" s="66" t="str">
        <f>VLOOKUP(A112,'Tot KPA'!A:H,8,0)</f>
        <v>Service charges</v>
      </c>
      <c r="I112" s="66" t="str">
        <f>VLOOKUP(A112,'Tot KPA'!A:I,9,0)</f>
        <v>Water</v>
      </c>
    </row>
    <row r="113" spans="1:9" hidden="1" x14ac:dyDescent="0.35">
      <c r="A113" s="66" t="s">
        <v>2942</v>
      </c>
      <c r="B113" s="89">
        <v>0</v>
      </c>
      <c r="C113" s="89">
        <v>0</v>
      </c>
      <c r="D113" s="89">
        <v>0</v>
      </c>
      <c r="E113" s="89">
        <v>0</v>
      </c>
      <c r="F113" s="89">
        <v>0</v>
      </c>
      <c r="G113" s="89">
        <v>0</v>
      </c>
      <c r="H113" s="66" t="str">
        <f>VLOOKUP(A113,'Tot KPA'!A:H,8,0)</f>
        <v>Service charges</v>
      </c>
      <c r="I113" s="66" t="str">
        <f>VLOOKUP(A113,'Tot KPA'!A:I,9,0)</f>
        <v>Water</v>
      </c>
    </row>
    <row r="114" spans="1:9" hidden="1" x14ac:dyDescent="0.35">
      <c r="A114" s="66" t="s">
        <v>3530</v>
      </c>
      <c r="B114" s="89">
        <v>0</v>
      </c>
      <c r="C114" s="89">
        <v>0</v>
      </c>
      <c r="D114" s="89">
        <v>0</v>
      </c>
      <c r="E114" s="89">
        <v>0</v>
      </c>
      <c r="F114" s="89">
        <v>0</v>
      </c>
      <c r="G114" s="89">
        <v>0</v>
      </c>
      <c r="H114" s="66" t="str">
        <f>VLOOKUP(A114,'Tot KPA'!A:H,8,0)</f>
        <v>Service charges</v>
      </c>
      <c r="I114" s="66" t="str">
        <f>VLOOKUP(A114,'Tot KPA'!A:I,9,0)</f>
        <v>Water</v>
      </c>
    </row>
    <row r="115" spans="1:9" hidden="1" x14ac:dyDescent="0.35">
      <c r="A115" s="66" t="s">
        <v>3528</v>
      </c>
      <c r="B115" s="89"/>
      <c r="C115" s="89"/>
      <c r="D115" s="89"/>
      <c r="E115" s="89"/>
      <c r="F115" s="89"/>
      <c r="G115" s="89"/>
      <c r="H115" s="66" t="str">
        <f>VLOOKUP(A115,'Tot KPA'!A:H,8,0)</f>
        <v>Service charges</v>
      </c>
      <c r="I115" s="66" t="str">
        <f>VLOOKUP(A115,'Tot KPA'!A:I,9,0)</f>
        <v>Water</v>
      </c>
    </row>
    <row r="116" spans="1:9" hidden="1" x14ac:dyDescent="0.35">
      <c r="A116" s="66" t="s">
        <v>3529</v>
      </c>
      <c r="B116" s="89"/>
      <c r="C116" s="89"/>
      <c r="D116" s="89"/>
      <c r="E116" s="89"/>
      <c r="F116" s="89"/>
      <c r="G116" s="89"/>
      <c r="H116" s="66" t="str">
        <f>VLOOKUP(A116,'Tot KPA'!A:H,8,0)</f>
        <v>Service charges</v>
      </c>
      <c r="I116" s="66" t="str">
        <f>VLOOKUP(A116,'Tot KPA'!A:I,9,0)</f>
        <v>Water</v>
      </c>
    </row>
    <row r="117" spans="1:9" hidden="1" x14ac:dyDescent="0.35">
      <c r="A117" s="66" t="s">
        <v>3531</v>
      </c>
      <c r="B117" s="89"/>
      <c r="C117" s="89"/>
      <c r="D117" s="89"/>
      <c r="E117" s="89"/>
      <c r="F117" s="89"/>
      <c r="G117" s="89"/>
      <c r="H117" s="66" t="str">
        <f>VLOOKUP(A117,'Tot KPA'!A:H,8,0)</f>
        <v>Service charges</v>
      </c>
      <c r="I117" s="66" t="str">
        <f>VLOOKUP(A117,'Tot KPA'!A:I,9,0)</f>
        <v>Water</v>
      </c>
    </row>
    <row r="118" spans="1:9" hidden="1" x14ac:dyDescent="0.35">
      <c r="A118" s="66" t="s">
        <v>2941</v>
      </c>
      <c r="B118" s="89">
        <v>0</v>
      </c>
      <c r="C118" s="89">
        <v>0</v>
      </c>
      <c r="D118" s="89">
        <v>0</v>
      </c>
      <c r="E118" s="89">
        <v>0</v>
      </c>
      <c r="F118" s="89">
        <v>0</v>
      </c>
      <c r="G118" s="89">
        <v>0</v>
      </c>
      <c r="H118" s="66" t="str">
        <f>VLOOKUP(A118,'Tot KPA'!A:H,8,0)</f>
        <v>Fines</v>
      </c>
      <c r="I118" s="66">
        <f>VLOOKUP(A118,'Tot KPA'!A:I,9,0)</f>
        <v>0</v>
      </c>
    </row>
    <row r="119" spans="1:9" hidden="1" x14ac:dyDescent="0.35">
      <c r="A119" s="66" t="s">
        <v>2970</v>
      </c>
      <c r="B119" s="89">
        <v>0</v>
      </c>
      <c r="C119" s="89">
        <v>0</v>
      </c>
      <c r="D119" s="89">
        <v>0</v>
      </c>
      <c r="E119" s="89">
        <v>0</v>
      </c>
      <c r="F119" s="89">
        <v>0</v>
      </c>
      <c r="G119" s="89">
        <v>0</v>
      </c>
      <c r="H119" s="66" t="str">
        <f>VLOOKUP(A119,'Tot KPA'!A:H,8,0)</f>
        <v>Other revenue</v>
      </c>
      <c r="I119" s="66">
        <f>VLOOKUP(A119,'Tot KPA'!A:I,9,0)</f>
        <v>0</v>
      </c>
    </row>
    <row r="121" spans="1:9" ht="15" thickBot="1" x14ac:dyDescent="0.4">
      <c r="A121" s="117" t="s">
        <v>2545</v>
      </c>
      <c r="B121" s="112">
        <f t="shared" ref="B121:G121" si="0">SUM(B2:B119)</f>
        <v>0</v>
      </c>
      <c r="C121" s="112">
        <f t="shared" si="0"/>
        <v>0</v>
      </c>
      <c r="D121" s="112">
        <f t="shared" si="0"/>
        <v>0</v>
      </c>
      <c r="E121" s="112">
        <f t="shared" si="0"/>
        <v>0</v>
      </c>
      <c r="F121" s="112">
        <f t="shared" si="0"/>
        <v>0</v>
      </c>
      <c r="G121" s="112">
        <f t="shared" si="0"/>
        <v>0</v>
      </c>
    </row>
    <row r="122" spans="1:9" ht="15" thickTop="1" x14ac:dyDescent="0.35">
      <c r="E122" s="111"/>
      <c r="F122" s="111"/>
      <c r="G122" s="111"/>
    </row>
    <row r="123" spans="1:9" x14ac:dyDescent="0.35">
      <c r="A123" s="117" t="s">
        <v>3452</v>
      </c>
    </row>
    <row r="124" spans="1:9" x14ac:dyDescent="0.35">
      <c r="A124" s="117"/>
    </row>
    <row r="125" spans="1:9" hidden="1" x14ac:dyDescent="0.35">
      <c r="A125" s="66" t="s">
        <v>3438</v>
      </c>
      <c r="B125" s="89"/>
      <c r="C125" s="89"/>
      <c r="D125" s="89"/>
      <c r="E125" s="89"/>
      <c r="F125" s="89"/>
      <c r="G125" s="89"/>
      <c r="H125" s="66" t="str">
        <f>VLOOKUP(A125,'Tot KPA'!A:H,8,0)</f>
        <v>Other expenditure</v>
      </c>
      <c r="I125" s="66">
        <f>VLOOKUP(A125,'Tot KPA'!A:I,9,0)</f>
        <v>0</v>
      </c>
    </row>
    <row r="126" spans="1:9" hidden="1" x14ac:dyDescent="0.35">
      <c r="A126" s="66" t="s">
        <v>3510</v>
      </c>
      <c r="B126" s="89">
        <v>0</v>
      </c>
      <c r="C126" s="89">
        <v>0</v>
      </c>
      <c r="D126" s="89">
        <v>0</v>
      </c>
      <c r="E126" s="89">
        <v>0</v>
      </c>
      <c r="F126" s="89">
        <v>0</v>
      </c>
      <c r="G126" s="89">
        <v>0</v>
      </c>
      <c r="H126" s="66" t="str">
        <f>VLOOKUP(A126,'Tot KPA'!A:H,8,0)</f>
        <v>Other expenditure</v>
      </c>
      <c r="I126" s="66">
        <f>VLOOKUP(A126,'Tot KPA'!A:I,9,0)</f>
        <v>0</v>
      </c>
    </row>
    <row r="127" spans="1:9" hidden="1" x14ac:dyDescent="0.35">
      <c r="A127" s="66" t="s">
        <v>2822</v>
      </c>
      <c r="B127" s="89">
        <v>0</v>
      </c>
      <c r="C127" s="89">
        <v>0</v>
      </c>
      <c r="D127" s="89">
        <v>0</v>
      </c>
      <c r="E127" s="89">
        <v>0</v>
      </c>
      <c r="F127" s="89">
        <v>0</v>
      </c>
      <c r="G127" s="89">
        <v>0</v>
      </c>
      <c r="H127" s="66" t="str">
        <f>VLOOKUP(A127,'Tot KPA'!A:H,8,0)</f>
        <v>Other expenditure</v>
      </c>
      <c r="I127" s="66">
        <f>VLOOKUP(A127,'Tot KPA'!A:I,9,0)</f>
        <v>0</v>
      </c>
    </row>
    <row r="128" spans="1:9" hidden="1" x14ac:dyDescent="0.35">
      <c r="A128" s="66" t="s">
        <v>2821</v>
      </c>
      <c r="B128" s="89">
        <v>0</v>
      </c>
      <c r="C128" s="89">
        <v>0</v>
      </c>
      <c r="D128" s="89">
        <v>0</v>
      </c>
      <c r="E128" s="89">
        <v>0</v>
      </c>
      <c r="F128" s="89">
        <v>0</v>
      </c>
      <c r="G128" s="89">
        <v>0</v>
      </c>
      <c r="H128" s="66" t="str">
        <f>VLOOKUP(A128,'Tot KPA'!A:H,8,0)</f>
        <v>Other expenditure</v>
      </c>
      <c r="I128" s="66">
        <f>VLOOKUP(A128,'Tot KPA'!A:I,9,0)</f>
        <v>0</v>
      </c>
    </row>
    <row r="129" spans="1:9" hidden="1" x14ac:dyDescent="0.35">
      <c r="A129" s="66" t="s">
        <v>2820</v>
      </c>
      <c r="B129" s="89">
        <v>0</v>
      </c>
      <c r="C129" s="89">
        <v>0</v>
      </c>
      <c r="D129" s="89">
        <v>0</v>
      </c>
      <c r="E129" s="89">
        <v>0</v>
      </c>
      <c r="F129" s="89">
        <v>0</v>
      </c>
      <c r="G129" s="89">
        <v>0</v>
      </c>
      <c r="H129" s="66" t="str">
        <f>VLOOKUP(A129,'Tot KPA'!A:H,8,0)</f>
        <v>Contracted Services</v>
      </c>
      <c r="I129" s="66">
        <f>VLOOKUP(A129,'Tot KPA'!A:I,9,0)</f>
        <v>0</v>
      </c>
    </row>
    <row r="130" spans="1:9" hidden="1" x14ac:dyDescent="0.35">
      <c r="A130" s="66" t="s">
        <v>2819</v>
      </c>
      <c r="B130" s="89">
        <v>0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66" t="str">
        <f>VLOOKUP(A130,'Tot KPA'!A:H,8,0)</f>
        <v>Other expenditure</v>
      </c>
      <c r="I130" s="66">
        <f>VLOOKUP(A130,'Tot KPA'!A:I,9,0)</f>
        <v>0</v>
      </c>
    </row>
    <row r="131" spans="1:9" hidden="1" x14ac:dyDescent="0.35">
      <c r="A131" s="66" t="s">
        <v>3440</v>
      </c>
      <c r="B131" s="89">
        <v>0</v>
      </c>
      <c r="C131" s="89">
        <v>0</v>
      </c>
      <c r="D131" s="89">
        <v>0</v>
      </c>
      <c r="E131" s="89">
        <v>0</v>
      </c>
      <c r="F131" s="89">
        <v>0</v>
      </c>
      <c r="G131" s="89">
        <v>0</v>
      </c>
      <c r="H131" s="66" t="str">
        <f>VLOOKUP(A131,'Tot KPA'!A:H,8,0)</f>
        <v>Contracted Services</v>
      </c>
      <c r="I131" s="66">
        <f>VLOOKUP(A131,'Tot KPA'!A:I,9,0)</f>
        <v>0</v>
      </c>
    </row>
    <row r="132" spans="1:9" hidden="1" x14ac:dyDescent="0.35">
      <c r="A132" s="66" t="s">
        <v>2844</v>
      </c>
      <c r="B132" s="89">
        <v>0</v>
      </c>
      <c r="C132" s="89">
        <v>0</v>
      </c>
      <c r="D132" s="89">
        <v>0</v>
      </c>
      <c r="E132" s="89">
        <v>0</v>
      </c>
      <c r="F132" s="89">
        <v>0</v>
      </c>
      <c r="G132" s="89">
        <v>0</v>
      </c>
      <c r="H132" s="66" t="str">
        <f>VLOOKUP(A132,'Tot KPA'!A:H,8,0)</f>
        <v>Other expenditure</v>
      </c>
      <c r="I132" s="66">
        <f>VLOOKUP(A132,'Tot KPA'!A:I,9,0)</f>
        <v>0</v>
      </c>
    </row>
    <row r="133" spans="1:9" hidden="1" x14ac:dyDescent="0.35">
      <c r="A133" s="66" t="s">
        <v>2992</v>
      </c>
      <c r="B133" s="89">
        <v>0</v>
      </c>
      <c r="C133" s="89">
        <v>0</v>
      </c>
      <c r="D133" s="89">
        <v>0</v>
      </c>
      <c r="E133" s="89">
        <v>0</v>
      </c>
      <c r="F133" s="89">
        <v>0</v>
      </c>
      <c r="G133" s="89">
        <v>0</v>
      </c>
      <c r="H133" s="66" t="str">
        <f>VLOOKUP(A133,'Tot KPA'!A:H,8,0)</f>
        <v>Bulk purchases</v>
      </c>
      <c r="I133" s="66">
        <f>VLOOKUP(A133,'Tot KPA'!A:I,9,0)</f>
        <v>0</v>
      </c>
    </row>
    <row r="134" spans="1:9" hidden="1" x14ac:dyDescent="0.35">
      <c r="A134" s="66" t="s">
        <v>2644</v>
      </c>
      <c r="B134" s="89">
        <v>0</v>
      </c>
      <c r="C134" s="89">
        <v>0</v>
      </c>
      <c r="D134" s="89">
        <v>0</v>
      </c>
      <c r="E134" s="89">
        <v>0</v>
      </c>
      <c r="F134" s="89">
        <v>0</v>
      </c>
      <c r="G134" s="89">
        <v>0</v>
      </c>
      <c r="H134" s="66" t="str">
        <f>VLOOKUP(A134,'Tot KPA'!A:H,8,0)</f>
        <v>Other materials</v>
      </c>
      <c r="I134" s="66">
        <f>VLOOKUP(A134,'Tot KPA'!A:I,9,0)</f>
        <v>0</v>
      </c>
    </row>
    <row r="135" spans="1:9" hidden="1" x14ac:dyDescent="0.35">
      <c r="A135" s="66" t="s">
        <v>2845</v>
      </c>
      <c r="B135" s="89">
        <v>0</v>
      </c>
      <c r="C135" s="89">
        <v>0</v>
      </c>
      <c r="D135" s="89">
        <v>0</v>
      </c>
      <c r="E135" s="89">
        <v>0</v>
      </c>
      <c r="F135" s="89">
        <v>0</v>
      </c>
      <c r="G135" s="89">
        <v>0</v>
      </c>
      <c r="H135" s="66" t="str">
        <f>VLOOKUP(A135,'Tot KPA'!A:H,8,0)</f>
        <v>Other materials</v>
      </c>
      <c r="I135" s="66">
        <f>VLOOKUP(A135,'Tot KPA'!A:I,9,0)</f>
        <v>0</v>
      </c>
    </row>
    <row r="136" spans="1:9" hidden="1" x14ac:dyDescent="0.35">
      <c r="A136" s="66" t="s">
        <v>2846</v>
      </c>
      <c r="B136" s="89">
        <v>0</v>
      </c>
      <c r="C136" s="89">
        <v>0</v>
      </c>
      <c r="D136" s="89">
        <v>0</v>
      </c>
      <c r="E136" s="89">
        <v>0</v>
      </c>
      <c r="F136" s="89">
        <v>0</v>
      </c>
      <c r="G136" s="89">
        <v>0</v>
      </c>
      <c r="H136" s="66" t="str">
        <f>VLOOKUP(A136,'Tot KPA'!A:H,8,0)</f>
        <v>Contracted services</v>
      </c>
      <c r="I136" s="66">
        <f>VLOOKUP(A136,'Tot KPA'!A:I,9,0)</f>
        <v>0</v>
      </c>
    </row>
    <row r="137" spans="1:9" hidden="1" x14ac:dyDescent="0.35">
      <c r="A137" s="66" t="s">
        <v>2959</v>
      </c>
      <c r="B137" s="89">
        <v>0</v>
      </c>
      <c r="C137" s="89">
        <v>0</v>
      </c>
      <c r="D137" s="89">
        <v>0</v>
      </c>
      <c r="E137" s="89">
        <v>0</v>
      </c>
      <c r="F137" s="89">
        <v>0</v>
      </c>
      <c r="G137" s="89">
        <v>0</v>
      </c>
      <c r="H137" s="66" t="str">
        <f>VLOOKUP(A137,'Tot KPA'!A:H,8,0)</f>
        <v>Other expenditure</v>
      </c>
      <c r="I137" s="66">
        <f>VLOOKUP(A137,'Tot KPA'!A:I,9,0)</f>
        <v>0</v>
      </c>
    </row>
    <row r="138" spans="1:9" hidden="1" x14ac:dyDescent="0.35">
      <c r="A138" s="66" t="s">
        <v>2960</v>
      </c>
      <c r="B138" s="89">
        <v>0</v>
      </c>
      <c r="C138" s="89">
        <v>0</v>
      </c>
      <c r="D138" s="89">
        <v>0</v>
      </c>
      <c r="E138" s="89">
        <v>0</v>
      </c>
      <c r="F138" s="89">
        <v>0</v>
      </c>
      <c r="G138" s="89">
        <v>0</v>
      </c>
      <c r="H138" s="66" t="str">
        <f>VLOOKUP(A138,'Tot KPA'!A:H,8,0)</f>
        <v>Other expenditure</v>
      </c>
      <c r="I138" s="66">
        <f>VLOOKUP(A138,'Tot KPA'!A:I,9,0)</f>
        <v>0</v>
      </c>
    </row>
    <row r="139" spans="1:9" hidden="1" x14ac:dyDescent="0.35">
      <c r="A139" s="66" t="s">
        <v>3546</v>
      </c>
      <c r="B139" s="89"/>
      <c r="C139" s="89"/>
      <c r="D139" s="89"/>
      <c r="E139" s="89"/>
      <c r="F139" s="89"/>
      <c r="G139" s="89"/>
      <c r="H139" s="66" t="str">
        <f>VLOOKUP(A139,'Tot KPA'!A:H,8,0)</f>
        <v>Other expenditure</v>
      </c>
      <c r="I139" s="66"/>
    </row>
    <row r="140" spans="1:9" hidden="1" x14ac:dyDescent="0.35">
      <c r="A140" s="66" t="s">
        <v>2660</v>
      </c>
      <c r="B140" s="89">
        <v>0</v>
      </c>
      <c r="C140" s="89">
        <v>0</v>
      </c>
      <c r="D140" s="89">
        <v>0</v>
      </c>
      <c r="E140" s="89">
        <v>0</v>
      </c>
      <c r="F140" s="89">
        <v>0</v>
      </c>
      <c r="G140" s="89">
        <v>0</v>
      </c>
      <c r="H140" s="66" t="str">
        <f>VLOOKUP(A140,'Tot KPA'!A:H,8,0)</f>
        <v>Contracted Services</v>
      </c>
      <c r="I140" s="66">
        <f>VLOOKUP(A140,'Tot KPA'!A:I,9,0)</f>
        <v>0</v>
      </c>
    </row>
    <row r="141" spans="1:9" hidden="1" x14ac:dyDescent="0.35">
      <c r="A141" s="66" t="s">
        <v>2886</v>
      </c>
      <c r="B141" s="89">
        <v>0</v>
      </c>
      <c r="C141" s="89">
        <v>0</v>
      </c>
      <c r="D141" s="89">
        <v>0</v>
      </c>
      <c r="E141" s="89">
        <v>0</v>
      </c>
      <c r="F141" s="89">
        <v>0</v>
      </c>
      <c r="G141" s="89">
        <v>0</v>
      </c>
      <c r="H141" s="66" t="str">
        <f>VLOOKUP(A141,'Tot KPA'!A:H,8,0)</f>
        <v>Other expenditure</v>
      </c>
      <c r="I141" s="66">
        <f>VLOOKUP(A141,'Tot KPA'!A:I,9,0)</f>
        <v>0</v>
      </c>
    </row>
    <row r="142" spans="1:9" hidden="1" x14ac:dyDescent="0.35">
      <c r="A142" s="66" t="s">
        <v>2885</v>
      </c>
      <c r="B142" s="89">
        <v>0</v>
      </c>
      <c r="C142" s="89">
        <v>0</v>
      </c>
      <c r="D142" s="89">
        <v>0</v>
      </c>
      <c r="E142" s="89">
        <v>0</v>
      </c>
      <c r="F142" s="89">
        <v>0</v>
      </c>
      <c r="G142" s="89">
        <v>0</v>
      </c>
      <c r="H142" s="66" t="str">
        <f>VLOOKUP(A142,'Tot KPA'!A:H,8,0)</f>
        <v>Other expenditure</v>
      </c>
      <c r="I142" s="66">
        <f>VLOOKUP(A142,'Tot KPA'!A:I,9,0)</f>
        <v>0</v>
      </c>
    </row>
    <row r="143" spans="1:9" hidden="1" x14ac:dyDescent="0.35">
      <c r="A143" s="66" t="s">
        <v>2636</v>
      </c>
      <c r="B143" s="89">
        <v>0</v>
      </c>
      <c r="C143" s="89">
        <v>0</v>
      </c>
      <c r="D143" s="89">
        <v>0</v>
      </c>
      <c r="E143" s="89">
        <v>0</v>
      </c>
      <c r="F143" s="89">
        <v>0</v>
      </c>
      <c r="G143" s="89">
        <v>0</v>
      </c>
      <c r="H143" s="66" t="str">
        <f>VLOOKUP(A143,'Tot KPA'!A:H,8,0)</f>
        <v>Other expenditure</v>
      </c>
      <c r="I143" s="66">
        <f>VLOOKUP(A143,'Tot KPA'!A:I,9,0)</f>
        <v>0</v>
      </c>
    </row>
    <row r="144" spans="1:9" hidden="1" x14ac:dyDescent="0.35">
      <c r="A144" s="66" t="s">
        <v>3512</v>
      </c>
      <c r="B144" s="89">
        <v>0</v>
      </c>
      <c r="C144" s="89"/>
      <c r="D144" s="89"/>
      <c r="E144" s="89"/>
      <c r="F144" s="89"/>
      <c r="G144" s="89"/>
      <c r="H144" s="66" t="str">
        <f>VLOOKUP(A144,'Tot KPA'!A:H,8,0)</f>
        <v>Contracted services</v>
      </c>
      <c r="I144" s="66">
        <f>VLOOKUP(A144,'Tot KPA'!A:I,9,0)</f>
        <v>0</v>
      </c>
    </row>
    <row r="145" spans="1:9" hidden="1" x14ac:dyDescent="0.35">
      <c r="A145" s="66" t="s">
        <v>2874</v>
      </c>
      <c r="B145" s="89">
        <v>0</v>
      </c>
      <c r="C145" s="89">
        <v>0</v>
      </c>
      <c r="D145" s="89">
        <v>0</v>
      </c>
      <c r="E145" s="89">
        <v>0</v>
      </c>
      <c r="F145" s="89">
        <v>0</v>
      </c>
      <c r="G145" s="89">
        <v>0</v>
      </c>
      <c r="H145" s="66" t="str">
        <f>VLOOKUP(A145,'Tot KPA'!A:H,8,0)</f>
        <v>Contracted services</v>
      </c>
      <c r="I145" s="66">
        <f>VLOOKUP(A145,'Tot KPA'!A:I,9,0)</f>
        <v>0</v>
      </c>
    </row>
    <row r="146" spans="1:9" hidden="1" x14ac:dyDescent="0.35">
      <c r="A146" s="66" t="s">
        <v>2875</v>
      </c>
      <c r="B146" s="89">
        <v>0</v>
      </c>
      <c r="C146" s="89">
        <v>0</v>
      </c>
      <c r="D146" s="89">
        <v>0</v>
      </c>
      <c r="E146" s="89">
        <v>0</v>
      </c>
      <c r="F146" s="89">
        <v>0</v>
      </c>
      <c r="G146" s="89">
        <v>0</v>
      </c>
      <c r="H146" s="66" t="str">
        <f>VLOOKUP(A146,'Tot KPA'!A:H,8,0)</f>
        <v>Contracted services</v>
      </c>
      <c r="I146" s="66">
        <f>VLOOKUP(A146,'Tot KPA'!A:I,9,0)</f>
        <v>0</v>
      </c>
    </row>
    <row r="147" spans="1:9" hidden="1" x14ac:dyDescent="0.35">
      <c r="A147" s="66" t="s">
        <v>2876</v>
      </c>
      <c r="B147" s="89">
        <v>0</v>
      </c>
      <c r="C147" s="89">
        <v>0</v>
      </c>
      <c r="D147" s="89">
        <v>0</v>
      </c>
      <c r="E147" s="89">
        <v>0</v>
      </c>
      <c r="F147" s="89">
        <v>0</v>
      </c>
      <c r="G147" s="89">
        <v>0</v>
      </c>
      <c r="H147" s="66" t="str">
        <f>VLOOKUP(A147,'Tot KPA'!A:H,8,0)</f>
        <v>Contracted services</v>
      </c>
      <c r="I147" s="66">
        <f>VLOOKUP(A147,'Tot KPA'!A:I,9,0)</f>
        <v>0</v>
      </c>
    </row>
    <row r="148" spans="1:9" hidden="1" x14ac:dyDescent="0.35">
      <c r="A148" s="66" t="s">
        <v>2877</v>
      </c>
      <c r="B148" s="89">
        <v>0</v>
      </c>
      <c r="C148" s="89">
        <v>0</v>
      </c>
      <c r="D148" s="89">
        <v>0</v>
      </c>
      <c r="E148" s="89">
        <v>0</v>
      </c>
      <c r="F148" s="89">
        <v>0</v>
      </c>
      <c r="G148" s="89">
        <v>0</v>
      </c>
      <c r="H148" s="66" t="str">
        <f>VLOOKUP(A148,'Tot KPA'!A:H,8,0)</f>
        <v>Other expenditure</v>
      </c>
      <c r="I148" s="66">
        <f>VLOOKUP(A148,'Tot KPA'!A:I,9,0)</f>
        <v>0</v>
      </c>
    </row>
    <row r="149" spans="1:9" hidden="1" x14ac:dyDescent="0.35">
      <c r="A149" s="66" t="s">
        <v>2884</v>
      </c>
      <c r="B149" s="89">
        <v>0</v>
      </c>
      <c r="C149" s="89">
        <v>0</v>
      </c>
      <c r="D149" s="89">
        <v>0</v>
      </c>
      <c r="E149" s="89">
        <v>0</v>
      </c>
      <c r="F149" s="89">
        <v>0</v>
      </c>
      <c r="G149" s="89">
        <v>0</v>
      </c>
      <c r="H149" s="66" t="str">
        <f>VLOOKUP(A149,'Tot KPA'!A:H,8,0)</f>
        <v>Other expenditure</v>
      </c>
      <c r="I149" s="66">
        <f>VLOOKUP(A149,'Tot KPA'!A:I,9,0)</f>
        <v>0</v>
      </c>
    </row>
    <row r="150" spans="1:9" hidden="1" x14ac:dyDescent="0.35">
      <c r="A150" s="66" t="s">
        <v>2847</v>
      </c>
      <c r="B150" s="89">
        <v>0</v>
      </c>
      <c r="C150" s="89">
        <v>0</v>
      </c>
      <c r="D150" s="89">
        <v>0</v>
      </c>
      <c r="E150" s="89">
        <v>0</v>
      </c>
      <c r="F150" s="89">
        <v>0</v>
      </c>
      <c r="G150" s="89">
        <v>0</v>
      </c>
      <c r="H150" s="66" t="str">
        <f>VLOOKUP(A150,'Tot KPA'!A:H,8,0)</f>
        <v>other materials</v>
      </c>
      <c r="I150" s="66">
        <f>VLOOKUP(A150,'Tot KPA'!A:I,9,0)</f>
        <v>0</v>
      </c>
    </row>
    <row r="151" spans="1:9" hidden="1" x14ac:dyDescent="0.35">
      <c r="A151" s="66" t="s">
        <v>3032</v>
      </c>
      <c r="B151" s="89">
        <v>0</v>
      </c>
      <c r="C151" s="89">
        <v>0</v>
      </c>
      <c r="D151" s="89">
        <v>0</v>
      </c>
      <c r="E151" s="89">
        <v>0</v>
      </c>
      <c r="F151" s="89">
        <v>0</v>
      </c>
      <c r="G151" s="89">
        <v>0</v>
      </c>
      <c r="H151" s="66" t="str">
        <f>VLOOKUP(A151,'Tot KPA'!A:H,8,0)</f>
        <v>Contracted services</v>
      </c>
      <c r="I151" s="66">
        <f>VLOOKUP(A151,'Tot KPA'!A:I,9,0)</f>
        <v>0</v>
      </c>
    </row>
    <row r="152" spans="1:9" hidden="1" x14ac:dyDescent="0.35">
      <c r="A152" s="66" t="s">
        <v>2919</v>
      </c>
      <c r="B152" s="89">
        <v>0</v>
      </c>
      <c r="C152" s="89"/>
      <c r="D152" s="89"/>
      <c r="E152" s="89"/>
      <c r="F152" s="89"/>
      <c r="G152" s="89"/>
      <c r="H152" s="66" t="str">
        <f>VLOOKUP(A152,'Tot KPA'!A:H,8,0)</f>
        <v>Contracted services</v>
      </c>
      <c r="I152" s="66">
        <f>VLOOKUP(A152,'Tot KPA'!A:I,9,0)</f>
        <v>0</v>
      </c>
    </row>
    <row r="153" spans="1:9" hidden="1" x14ac:dyDescent="0.35">
      <c r="A153" s="66" t="s">
        <v>3486</v>
      </c>
      <c r="B153" s="89">
        <v>0</v>
      </c>
      <c r="C153" s="89"/>
      <c r="D153" s="89"/>
      <c r="E153" s="89"/>
      <c r="F153" s="89"/>
      <c r="G153" s="89"/>
      <c r="H153" s="66" t="str">
        <f>VLOOKUP(A153,'Tot KPA'!A:H,8,0)</f>
        <v>Capital Expenditure</v>
      </c>
      <c r="I153" s="66" t="str">
        <f>VLOOKUP(A153,'Tot KPA'!A:I,9,0)</f>
        <v>Own funding</v>
      </c>
    </row>
    <row r="154" spans="1:9" hidden="1" x14ac:dyDescent="0.35">
      <c r="A154" s="66" t="s">
        <v>3487</v>
      </c>
      <c r="B154" s="89"/>
      <c r="C154" s="89"/>
      <c r="D154" s="89"/>
      <c r="E154" s="89"/>
      <c r="F154" s="89"/>
      <c r="G154" s="89"/>
      <c r="H154" s="66" t="str">
        <f>VLOOKUP(A154,'Tot KPA'!A:H,8,0)</f>
        <v>Capital Expenditure</v>
      </c>
      <c r="I154" s="66" t="str">
        <f>VLOOKUP(A154,'Tot KPA'!A:I,9,0)</f>
        <v>Own funding</v>
      </c>
    </row>
    <row r="155" spans="1:9" ht="15" hidden="1" customHeight="1" x14ac:dyDescent="0.35">
      <c r="A155" s="66" t="s">
        <v>3488</v>
      </c>
      <c r="B155" s="89"/>
      <c r="C155" s="89"/>
      <c r="D155" s="89"/>
      <c r="E155" s="89"/>
      <c r="F155" s="89"/>
      <c r="G155" s="89"/>
      <c r="H155" s="66" t="str">
        <f>VLOOKUP(A155,'Tot KPA'!A:H,8,0)</f>
        <v>Capital Expenditure</v>
      </c>
      <c r="I155" s="66" t="str">
        <f>VLOOKUP(A155,'Tot KPA'!A:I,9,0)</f>
        <v>Own funding</v>
      </c>
    </row>
    <row r="156" spans="1:9" hidden="1" x14ac:dyDescent="0.35">
      <c r="A156" s="66" t="s">
        <v>3489</v>
      </c>
      <c r="B156" s="89"/>
      <c r="C156" s="89"/>
      <c r="D156" s="89"/>
      <c r="E156" s="89"/>
      <c r="F156" s="89"/>
      <c r="G156" s="89"/>
      <c r="H156" s="66" t="str">
        <f>VLOOKUP(A156,'Tot KPA'!A:H,8,0)</f>
        <v>Capital Expenditure</v>
      </c>
      <c r="I156" s="66" t="str">
        <f>VLOOKUP(A156,'Tot KPA'!A:I,9,0)</f>
        <v>Own funding</v>
      </c>
    </row>
    <row r="157" spans="1:9" ht="15" hidden="1" customHeight="1" x14ac:dyDescent="0.35">
      <c r="A157" s="66" t="s">
        <v>3012</v>
      </c>
      <c r="B157" s="89">
        <v>0</v>
      </c>
      <c r="C157" s="89"/>
      <c r="D157" s="89"/>
      <c r="E157" s="89"/>
      <c r="F157" s="89"/>
      <c r="G157" s="89"/>
      <c r="H157" s="66" t="str">
        <f>VLOOKUP(A157,'Tot KPA'!A:H,8,0)</f>
        <v>Remuneration of councillors</v>
      </c>
      <c r="I157" s="66">
        <f>VLOOKUP(A157,'Tot KPA'!A:I,9,0)</f>
        <v>0</v>
      </c>
    </row>
    <row r="158" spans="1:9" ht="15" hidden="1" customHeight="1" x14ac:dyDescent="0.35">
      <c r="A158" s="66" t="s">
        <v>3010</v>
      </c>
      <c r="B158" s="89">
        <v>0</v>
      </c>
      <c r="C158" s="89"/>
      <c r="D158" s="89"/>
      <c r="E158" s="89"/>
      <c r="F158" s="89"/>
      <c r="G158" s="89"/>
      <c r="H158" s="66" t="str">
        <f>VLOOKUP(A158,'Tot KPA'!A:H,8,0)</f>
        <v>Remuneration of councillors</v>
      </c>
      <c r="I158" s="66">
        <f>VLOOKUP(A158,'Tot KPA'!A:I,9,0)</f>
        <v>0</v>
      </c>
    </row>
    <row r="159" spans="1:9" ht="15" hidden="1" customHeight="1" x14ac:dyDescent="0.35">
      <c r="A159" s="66" t="s">
        <v>3013</v>
      </c>
      <c r="B159" s="89">
        <v>0</v>
      </c>
      <c r="C159" s="89"/>
      <c r="D159" s="89"/>
      <c r="E159" s="89"/>
      <c r="F159" s="89"/>
      <c r="G159" s="89"/>
      <c r="H159" s="66" t="str">
        <f>VLOOKUP(A159,'Tot KPA'!A:H,8,0)</f>
        <v>Remuneration of councillors</v>
      </c>
      <c r="I159" s="66">
        <f>VLOOKUP(A159,'Tot KPA'!A:I,9,0)</f>
        <v>0</v>
      </c>
    </row>
    <row r="160" spans="1:9" ht="15" hidden="1" customHeight="1" x14ac:dyDescent="0.35">
      <c r="A160" s="66" t="s">
        <v>3011</v>
      </c>
      <c r="B160" s="89">
        <v>0</v>
      </c>
      <c r="C160" s="89"/>
      <c r="D160" s="89"/>
      <c r="E160" s="89"/>
      <c r="F160" s="89"/>
      <c r="G160" s="89"/>
      <c r="H160" s="66" t="str">
        <f>VLOOKUP(A160,'Tot KPA'!A:H,8,0)</f>
        <v>Remuneration of councillors</v>
      </c>
      <c r="I160" s="66">
        <f>VLOOKUP(A160,'Tot KPA'!A:I,9,0)</f>
        <v>0</v>
      </c>
    </row>
    <row r="161" spans="1:9" ht="15" hidden="1" customHeight="1" x14ac:dyDescent="0.35">
      <c r="A161" s="66" t="s">
        <v>2848</v>
      </c>
      <c r="B161" s="89">
        <v>0</v>
      </c>
      <c r="C161" s="89"/>
      <c r="D161" s="89"/>
      <c r="E161" s="89"/>
      <c r="F161" s="89"/>
      <c r="G161" s="89"/>
      <c r="H161" s="66" t="str">
        <f>VLOOKUP(A161,'Tot KPA'!A:H,8,0)</f>
        <v>Other expenditure</v>
      </c>
      <c r="I161" s="66">
        <f>VLOOKUP(A161,'Tot KPA'!A:I,9,0)</f>
        <v>0</v>
      </c>
    </row>
    <row r="162" spans="1:9" ht="15" hidden="1" customHeight="1" x14ac:dyDescent="0.35">
      <c r="A162" s="66" t="s">
        <v>3005</v>
      </c>
      <c r="B162" s="89">
        <v>0</v>
      </c>
      <c r="C162" s="89"/>
      <c r="D162" s="89"/>
      <c r="E162" s="89"/>
      <c r="F162" s="89"/>
      <c r="G162" s="89"/>
      <c r="H162" s="66" t="str">
        <f>VLOOKUP(A162,'Tot KPA'!A:H,8,0)</f>
        <v>Debt impairment</v>
      </c>
      <c r="I162" s="66">
        <f>VLOOKUP(A162,'Tot KPA'!A:I,9,0)</f>
        <v>0</v>
      </c>
    </row>
    <row r="163" spans="1:9" ht="15" hidden="1" customHeight="1" x14ac:dyDescent="0.35">
      <c r="A163" s="66" t="s">
        <v>3009</v>
      </c>
      <c r="B163" s="89">
        <v>0</v>
      </c>
      <c r="C163" s="89"/>
      <c r="D163" s="89"/>
      <c r="E163" s="89"/>
      <c r="F163" s="89"/>
      <c r="G163" s="89"/>
      <c r="H163" s="66" t="str">
        <f>VLOOKUP(A163,'Tot KPA'!A:H,8,0)</f>
        <v>Debt impairment</v>
      </c>
      <c r="I163" s="66">
        <f>VLOOKUP(A163,'Tot KPA'!A:I,9,0)</f>
        <v>0</v>
      </c>
    </row>
    <row r="164" spans="1:9" ht="12.75" hidden="1" customHeight="1" x14ac:dyDescent="0.35">
      <c r="A164" s="66" t="s">
        <v>3004</v>
      </c>
      <c r="B164" s="89">
        <v>0</v>
      </c>
      <c r="C164" s="89"/>
      <c r="D164" s="89"/>
      <c r="E164" s="89"/>
      <c r="F164" s="89"/>
      <c r="G164" s="89"/>
      <c r="H164" s="66" t="str">
        <f>VLOOKUP(A164,'Tot KPA'!A:H,8,0)</f>
        <v>Debt impairment</v>
      </c>
      <c r="I164" s="66">
        <f>VLOOKUP(A164,'Tot KPA'!A:I,9,0)</f>
        <v>0</v>
      </c>
    </row>
    <row r="165" spans="1:9" ht="15" hidden="1" customHeight="1" x14ac:dyDescent="0.35">
      <c r="A165" s="66" t="s">
        <v>3008</v>
      </c>
      <c r="B165" s="89"/>
      <c r="C165" s="89"/>
      <c r="D165" s="89"/>
      <c r="E165" s="89"/>
      <c r="F165" s="89"/>
      <c r="G165" s="89"/>
      <c r="H165" s="66" t="str">
        <f>VLOOKUP(A165,'Tot KPA'!A:H,8,0)</f>
        <v>Debt impairment</v>
      </c>
      <c r="I165" s="66">
        <f>VLOOKUP(A165,'Tot KPA'!A:I,9,0)</f>
        <v>0</v>
      </c>
    </row>
    <row r="166" spans="1:9" ht="15" hidden="1" customHeight="1" x14ac:dyDescent="0.35">
      <c r="A166" s="66" t="s">
        <v>3007</v>
      </c>
      <c r="B166" s="89"/>
      <c r="C166" s="89"/>
      <c r="D166" s="89"/>
      <c r="E166" s="89"/>
      <c r="F166" s="89"/>
      <c r="G166" s="89"/>
      <c r="H166" s="66" t="str">
        <f>VLOOKUP(A166,'Tot KPA'!A:H,8,0)</f>
        <v>Debt impairment</v>
      </c>
      <c r="I166" s="66">
        <f>VLOOKUP(A166,'Tot KPA'!A:I,9,0)</f>
        <v>0</v>
      </c>
    </row>
    <row r="167" spans="1:9" hidden="1" x14ac:dyDescent="0.35">
      <c r="A167" s="66" t="s">
        <v>3006</v>
      </c>
      <c r="B167" s="89"/>
      <c r="C167" s="89"/>
      <c r="D167" s="89"/>
      <c r="E167" s="89"/>
      <c r="F167" s="89"/>
      <c r="G167" s="89"/>
      <c r="H167" s="66" t="str">
        <f>VLOOKUP(A167,'Tot KPA'!A:H,8,0)</f>
        <v>Debt impairment</v>
      </c>
      <c r="I167" s="66">
        <f>VLOOKUP(A167,'Tot KPA'!A:I,9,0)</f>
        <v>0</v>
      </c>
    </row>
    <row r="168" spans="1:9" hidden="1" x14ac:dyDescent="0.35">
      <c r="A168" s="66" t="s">
        <v>2983</v>
      </c>
      <c r="B168" s="89"/>
      <c r="C168" s="89"/>
      <c r="D168" s="89"/>
      <c r="E168" s="89"/>
      <c r="F168" s="89"/>
      <c r="G168" s="89"/>
      <c r="H168" s="66" t="str">
        <f>VLOOKUP(A168,'Tot KPA'!A:H,8,0)</f>
        <v>Other expenditure</v>
      </c>
      <c r="I168" s="66">
        <f>VLOOKUP(A168,'Tot KPA'!A:I,9,0)</f>
        <v>0</v>
      </c>
    </row>
    <row r="169" spans="1:9" hidden="1" x14ac:dyDescent="0.35">
      <c r="A169" s="66" t="s">
        <v>2978</v>
      </c>
      <c r="B169" s="89"/>
      <c r="C169" s="89"/>
      <c r="D169" s="89"/>
      <c r="E169" s="89"/>
      <c r="F169" s="89"/>
      <c r="G169" s="89"/>
      <c r="H169" s="66" t="str">
        <f>VLOOKUP(A169,'Tot KPA'!A:H,8,0)</f>
        <v>Other expenditure</v>
      </c>
      <c r="I169" s="66">
        <f>VLOOKUP(A169,'Tot KPA'!A:I,9,0)</f>
        <v>0</v>
      </c>
    </row>
    <row r="170" spans="1:9" hidden="1" x14ac:dyDescent="0.35">
      <c r="A170" s="66" t="s">
        <v>2849</v>
      </c>
      <c r="B170" s="89"/>
      <c r="C170" s="89"/>
      <c r="D170" s="89"/>
      <c r="E170" s="89"/>
      <c r="F170" s="89"/>
      <c r="G170" s="89"/>
      <c r="H170" s="66" t="str">
        <f>VLOOKUP(A170,'Tot KPA'!A:H,8,0)</f>
        <v>Depreciation and asset impairment</v>
      </c>
      <c r="I170" s="66">
        <f>VLOOKUP(A170,'Tot KPA'!A:I,9,0)</f>
        <v>0</v>
      </c>
    </row>
    <row r="171" spans="1:9" hidden="1" x14ac:dyDescent="0.35">
      <c r="A171" s="66" t="s">
        <v>3000</v>
      </c>
      <c r="B171" s="89"/>
      <c r="C171" s="89"/>
      <c r="D171" s="89"/>
      <c r="E171" s="89"/>
      <c r="F171" s="89"/>
      <c r="G171" s="89"/>
      <c r="H171" s="66" t="str">
        <f>VLOOKUP(A171,'Tot KPA'!A:H,8,0)</f>
        <v>Contracted Services</v>
      </c>
      <c r="I171" s="66">
        <f>VLOOKUP(A171,'Tot KPA'!A:I,9,0)</f>
        <v>0</v>
      </c>
    </row>
    <row r="172" spans="1:9" hidden="1" x14ac:dyDescent="0.35">
      <c r="A172" s="66" t="s">
        <v>3421</v>
      </c>
      <c r="B172" s="89"/>
      <c r="C172" s="89"/>
      <c r="D172" s="89"/>
      <c r="E172" s="89"/>
      <c r="F172" s="89"/>
      <c r="G172" s="89"/>
      <c r="H172" s="66" t="str">
        <f>VLOOKUP(A172,'Tot KPA'!A:H,8,0)</f>
        <v>Transfers</v>
      </c>
      <c r="I172" s="66">
        <f>VLOOKUP(A172,'Tot KPA'!A:I,9,0)</f>
        <v>0</v>
      </c>
    </row>
    <row r="173" spans="1:9" hidden="1" x14ac:dyDescent="0.35">
      <c r="A173" s="66" t="s">
        <v>2879</v>
      </c>
      <c r="B173" s="89"/>
      <c r="C173" s="89"/>
      <c r="D173" s="89"/>
      <c r="E173" s="89"/>
      <c r="F173" s="89"/>
      <c r="G173" s="89"/>
      <c r="H173" s="66" t="str">
        <f>VLOOKUP(A173,'Tot KPA'!A:H,8,0)</f>
        <v>Transfers</v>
      </c>
      <c r="I173" s="66">
        <f>VLOOKUP(A173,'Tot KPA'!A:I,9,0)</f>
        <v>0</v>
      </c>
    </row>
    <row r="174" spans="1:9" hidden="1" x14ac:dyDescent="0.35">
      <c r="A174" s="66" t="s">
        <v>3422</v>
      </c>
      <c r="B174" s="89"/>
      <c r="C174" s="89"/>
      <c r="D174" s="89"/>
      <c r="E174" s="89"/>
      <c r="F174" s="89"/>
      <c r="G174" s="89"/>
      <c r="H174" s="66" t="str">
        <f>VLOOKUP(A174,'Tot KPA'!A:H,8,0)</f>
        <v>Transfers</v>
      </c>
      <c r="I174" s="66">
        <f>VLOOKUP(A174,'Tot KPA'!A:I,9,0)</f>
        <v>0</v>
      </c>
    </row>
    <row r="175" spans="1:9" hidden="1" x14ac:dyDescent="0.35">
      <c r="A175" s="66" t="s">
        <v>2881</v>
      </c>
      <c r="B175" s="89"/>
      <c r="C175" s="89"/>
      <c r="D175" s="89"/>
      <c r="E175" s="89"/>
      <c r="F175" s="89"/>
      <c r="G175" s="89"/>
      <c r="H175" s="66" t="str">
        <f>VLOOKUP(A175,'Tot KPA'!A:H,8,0)</f>
        <v>Transfers</v>
      </c>
      <c r="I175" s="66">
        <f>VLOOKUP(A175,'Tot KPA'!A:I,9,0)</f>
        <v>0</v>
      </c>
    </row>
    <row r="176" spans="1:9" hidden="1" x14ac:dyDescent="0.35">
      <c r="A176" s="66" t="s">
        <v>2882</v>
      </c>
      <c r="B176" s="89"/>
      <c r="C176" s="89"/>
      <c r="D176" s="89"/>
      <c r="E176" s="89"/>
      <c r="F176" s="89"/>
      <c r="G176" s="89"/>
      <c r="H176" s="66" t="str">
        <f>VLOOKUP(A176,'Tot KPA'!A:H,8,0)</f>
        <v>Transfers</v>
      </c>
      <c r="I176" s="66">
        <f>VLOOKUP(A176,'Tot KPA'!A:I,9,0)</f>
        <v>0</v>
      </c>
    </row>
    <row r="177" spans="1:9" hidden="1" x14ac:dyDescent="0.35">
      <c r="A177" s="66" t="s">
        <v>3423</v>
      </c>
      <c r="B177" s="89"/>
      <c r="C177" s="89"/>
      <c r="D177" s="89"/>
      <c r="E177" s="89"/>
      <c r="F177" s="89"/>
      <c r="G177" s="89"/>
      <c r="H177" s="66" t="str">
        <f>VLOOKUP(A177,'Tot KPA'!A:H,8,0)</f>
        <v>Transfers</v>
      </c>
      <c r="I177" s="66">
        <f>VLOOKUP(A177,'Tot KPA'!A:I,9,0)</f>
        <v>0</v>
      </c>
    </row>
    <row r="178" spans="1:9" hidden="1" x14ac:dyDescent="0.35">
      <c r="A178" s="66" t="s">
        <v>2880</v>
      </c>
      <c r="B178" s="89"/>
      <c r="C178" s="89"/>
      <c r="D178" s="89"/>
      <c r="E178" s="89"/>
      <c r="F178" s="89"/>
      <c r="G178" s="89"/>
      <c r="H178" s="66" t="str">
        <f>VLOOKUP(A178,'Tot KPA'!A:H,8,0)</f>
        <v>Transfers</v>
      </c>
      <c r="I178" s="66">
        <f>VLOOKUP(A178,'Tot KPA'!A:I,9,0)</f>
        <v>0</v>
      </c>
    </row>
    <row r="179" spans="1:9" hidden="1" x14ac:dyDescent="0.35">
      <c r="A179" s="66" t="s">
        <v>2883</v>
      </c>
      <c r="B179" s="89"/>
      <c r="C179" s="89"/>
      <c r="D179" s="89"/>
      <c r="E179" s="89"/>
      <c r="F179" s="89"/>
      <c r="G179" s="89"/>
      <c r="H179" s="66" t="str">
        <f>VLOOKUP(A179,'Tot KPA'!A:H,8,0)</f>
        <v>Transfers</v>
      </c>
      <c r="I179" s="66">
        <f>VLOOKUP(A179,'Tot KPA'!A:I,9,0)</f>
        <v>0</v>
      </c>
    </row>
    <row r="180" spans="1:9" hidden="1" x14ac:dyDescent="0.35">
      <c r="A180" s="66" t="s">
        <v>2878</v>
      </c>
      <c r="B180" s="89"/>
      <c r="C180" s="89"/>
      <c r="D180" s="89"/>
      <c r="E180" s="89"/>
      <c r="F180" s="89"/>
      <c r="G180" s="89"/>
      <c r="H180" s="66" t="str">
        <f>VLOOKUP(A180,'Tot KPA'!A:H,8,0)</f>
        <v>Transfers</v>
      </c>
      <c r="I180" s="66">
        <f>VLOOKUP(A180,'Tot KPA'!A:I,9,0)</f>
        <v>0</v>
      </c>
    </row>
    <row r="181" spans="1:9" hidden="1" x14ac:dyDescent="0.35">
      <c r="A181" s="66" t="s">
        <v>3014</v>
      </c>
      <c r="B181" s="89"/>
      <c r="C181" s="89"/>
      <c r="D181" s="89"/>
      <c r="E181" s="89"/>
      <c r="F181" s="89"/>
      <c r="G181" s="89"/>
      <c r="H181" s="66" t="str">
        <f>VLOOKUP(A181,'Tot KPA'!A:H,8,0)</f>
        <v>Bulk purchases</v>
      </c>
      <c r="I181" s="66">
        <f>VLOOKUP(A181,'Tot KPA'!A:I,9,0)</f>
        <v>0</v>
      </c>
    </row>
    <row r="182" spans="1:9" hidden="1" x14ac:dyDescent="0.35">
      <c r="A182" s="66" t="s">
        <v>2961</v>
      </c>
      <c r="B182" s="89"/>
      <c r="C182" s="89"/>
      <c r="D182" s="89"/>
      <c r="E182" s="89"/>
      <c r="F182" s="89"/>
      <c r="G182" s="89"/>
      <c r="H182" s="66" t="str">
        <f>VLOOKUP(A182,'Tot KPA'!A:H,8,0)</f>
        <v>Other expenditure</v>
      </c>
      <c r="I182" s="66">
        <f>VLOOKUP(A182,'Tot KPA'!A:I,9,0)</f>
        <v>0</v>
      </c>
    </row>
    <row r="183" spans="1:9" x14ac:dyDescent="0.35">
      <c r="A183" s="66" t="s">
        <v>2901</v>
      </c>
      <c r="B183" s="89">
        <v>100</v>
      </c>
      <c r="C183" s="89">
        <v>100</v>
      </c>
      <c r="D183" s="235">
        <v>118.8</v>
      </c>
      <c r="E183" s="235">
        <v>200</v>
      </c>
      <c r="F183" s="235">
        <v>200</v>
      </c>
      <c r="G183" s="235">
        <v>200</v>
      </c>
      <c r="H183" s="66" t="str">
        <f>VLOOKUP(A183,'Tot KPA'!A:H,8,0)</f>
        <v>Employee related cost</v>
      </c>
      <c r="I183" s="66" t="str">
        <f>VLOOKUP(A183,'Tot KPA'!A:I,9,0)</f>
        <v>Social</v>
      </c>
    </row>
    <row r="184" spans="1:9" x14ac:dyDescent="0.35">
      <c r="A184" s="66" t="s">
        <v>2902</v>
      </c>
      <c r="B184" s="89">
        <v>116000</v>
      </c>
      <c r="C184" s="89">
        <v>116000</v>
      </c>
      <c r="D184" s="235">
        <v>113812.31</v>
      </c>
      <c r="E184" s="235">
        <v>115000</v>
      </c>
      <c r="F184" s="235">
        <f>+E184*1.04</f>
        <v>119600</v>
      </c>
      <c r="G184" s="235">
        <v>124400</v>
      </c>
      <c r="H184" s="66" t="str">
        <f>VLOOKUP(A184,'Tot KPA'!A:H,8,0)</f>
        <v>Employee related cost</v>
      </c>
      <c r="I184" s="66" t="str">
        <f>VLOOKUP(A184,'Tot KPA'!A:I,9,0)</f>
        <v>Salaries</v>
      </c>
    </row>
    <row r="185" spans="1:9" x14ac:dyDescent="0.35">
      <c r="A185" s="66" t="s">
        <v>2903</v>
      </c>
      <c r="B185" s="89">
        <v>12000</v>
      </c>
      <c r="C185" s="89">
        <v>12000</v>
      </c>
      <c r="D185" s="235">
        <v>12000</v>
      </c>
      <c r="E185" s="235">
        <v>24000</v>
      </c>
      <c r="F185" s="235">
        <v>24000</v>
      </c>
      <c r="G185" s="235">
        <v>24000</v>
      </c>
      <c r="H185" s="66" t="str">
        <f>VLOOKUP(A185,'Tot KPA'!A:H,8,0)</f>
        <v>Employee related cost</v>
      </c>
      <c r="I185" s="66" t="str">
        <f>VLOOKUP(A185,'Tot KPA'!A:I,9,0)</f>
        <v>Salaries</v>
      </c>
    </row>
    <row r="186" spans="1:9" hidden="1" x14ac:dyDescent="0.35">
      <c r="A186" s="66" t="s">
        <v>2900</v>
      </c>
      <c r="B186" s="89"/>
      <c r="C186" s="89"/>
      <c r="D186" s="235"/>
      <c r="E186" s="89"/>
      <c r="F186" s="89"/>
      <c r="G186" s="89"/>
      <c r="H186" s="66" t="str">
        <f>VLOOKUP(A186,'Tot KPA'!A:H,8,0)</f>
        <v>Employee related cost</v>
      </c>
      <c r="I186" s="66" t="str">
        <f>VLOOKUP(A186,'Tot KPA'!A:I,9,0)</f>
        <v>Salaries</v>
      </c>
    </row>
    <row r="187" spans="1:9" hidden="1" x14ac:dyDescent="0.35">
      <c r="A187" s="66" t="s">
        <v>3398</v>
      </c>
      <c r="B187" s="89"/>
      <c r="C187" s="89"/>
      <c r="D187" s="235"/>
      <c r="E187" s="89"/>
      <c r="F187" s="89"/>
      <c r="G187" s="89"/>
      <c r="H187" s="66" t="str">
        <f>VLOOKUP(A187,'Tot KPA'!A:H,8,0)</f>
        <v>Employee related cost</v>
      </c>
      <c r="I187" s="66" t="str">
        <f>VLOOKUP(A187,'Tot KPA'!A:I,9,0)</f>
        <v>Salaries</v>
      </c>
    </row>
    <row r="188" spans="1:9" hidden="1" x14ac:dyDescent="0.35">
      <c r="A188" s="66" t="s">
        <v>3399</v>
      </c>
      <c r="B188" s="89"/>
      <c r="C188" s="89"/>
      <c r="D188" s="235"/>
      <c r="E188" s="89"/>
      <c r="F188" s="89"/>
      <c r="G188" s="89"/>
      <c r="H188" s="66" t="str">
        <f>VLOOKUP(A188,'Tot KPA'!A:H,8,0)</f>
        <v>Employee related cost</v>
      </c>
      <c r="I188" s="66" t="str">
        <f>VLOOKUP(A188,'Tot KPA'!A:I,9,0)</f>
        <v>Salaries</v>
      </c>
    </row>
    <row r="189" spans="1:9" hidden="1" x14ac:dyDescent="0.35">
      <c r="A189" s="66" t="s">
        <v>2984</v>
      </c>
      <c r="B189" s="89"/>
      <c r="C189" s="89"/>
      <c r="D189" s="235"/>
      <c r="E189" s="89"/>
      <c r="F189" s="89"/>
      <c r="G189" s="89"/>
      <c r="H189" s="66" t="str">
        <f>VLOOKUP(A189,'Tot KPA'!A:H,8,0)</f>
        <v>Employee related cost</v>
      </c>
      <c r="I189" s="66" t="str">
        <f>VLOOKUP(A189,'Tot KPA'!A:I,9,0)</f>
        <v>Social</v>
      </c>
    </row>
    <row r="190" spans="1:9" hidden="1" x14ac:dyDescent="0.35">
      <c r="A190" s="66" t="s">
        <v>2904</v>
      </c>
      <c r="B190" s="89"/>
      <c r="C190" s="89"/>
      <c r="D190" s="235"/>
      <c r="E190" s="89"/>
      <c r="F190" s="89"/>
      <c r="G190" s="89"/>
      <c r="H190" s="66" t="str">
        <f>VLOOKUP(A190,'Tot KPA'!A:H,8,0)</f>
        <v>Employee related cost</v>
      </c>
      <c r="I190" s="66" t="str">
        <f>VLOOKUP(A190,'Tot KPA'!A:I,9,0)</f>
        <v>Salaries</v>
      </c>
    </row>
    <row r="191" spans="1:9" hidden="1" x14ac:dyDescent="0.35">
      <c r="A191" s="66" t="s">
        <v>2905</v>
      </c>
      <c r="B191" s="89"/>
      <c r="C191" s="89"/>
      <c r="D191" s="235"/>
      <c r="E191" s="89"/>
      <c r="F191" s="89"/>
      <c r="G191" s="89"/>
      <c r="H191" s="66" t="str">
        <f>VLOOKUP(A191,'Tot KPA'!A:H,8,0)</f>
        <v>Employee related cost</v>
      </c>
      <c r="I191" s="66" t="str">
        <f>VLOOKUP(A191,'Tot KPA'!A:I,9,0)</f>
        <v>Social</v>
      </c>
    </row>
    <row r="192" spans="1:9" hidden="1" x14ac:dyDescent="0.35">
      <c r="A192" s="66" t="s">
        <v>3039</v>
      </c>
      <c r="B192" s="89"/>
      <c r="C192" s="89"/>
      <c r="D192" s="235"/>
      <c r="E192" s="89"/>
      <c r="F192" s="89"/>
      <c r="G192" s="89"/>
      <c r="H192" s="66" t="str">
        <f>VLOOKUP(A192,'Tot KPA'!A:H,8,0)</f>
        <v>Employee related cost</v>
      </c>
      <c r="I192" s="66" t="str">
        <f>VLOOKUP(A192,'Tot KPA'!A:I,9,0)</f>
        <v>Social</v>
      </c>
    </row>
    <row r="193" spans="1:9" x14ac:dyDescent="0.35">
      <c r="A193" s="66" t="s">
        <v>2906</v>
      </c>
      <c r="B193" s="89">
        <v>828400</v>
      </c>
      <c r="C193" s="89">
        <v>828400</v>
      </c>
      <c r="D193" s="235">
        <v>818309.82</v>
      </c>
      <c r="E193" s="235">
        <v>816000</v>
      </c>
      <c r="F193" s="235">
        <v>848700</v>
      </c>
      <c r="G193" s="235">
        <v>882700</v>
      </c>
      <c r="H193" s="66" t="str">
        <f>VLOOKUP(A193,'Tot KPA'!A:H,8,0)</f>
        <v>Employee related cost</v>
      </c>
      <c r="I193" s="66" t="str">
        <f>VLOOKUP(A193,'Tot KPA'!A:I,9,0)</f>
        <v>Salaries</v>
      </c>
    </row>
    <row r="194" spans="1:9" hidden="1" x14ac:dyDescent="0.35">
      <c r="A194" s="66" t="s">
        <v>3040</v>
      </c>
      <c r="B194" s="89"/>
      <c r="C194" s="89"/>
      <c r="D194" s="235"/>
      <c r="E194" s="89"/>
      <c r="F194" s="89"/>
      <c r="G194" s="89"/>
      <c r="H194" s="66" t="str">
        <f>VLOOKUP(A194,'Tot KPA'!A:H,8,0)</f>
        <v>Employee related cost</v>
      </c>
      <c r="I194" s="66" t="str">
        <f>VLOOKUP(A194,'Tot KPA'!A:I,9,0)</f>
        <v>Salaries</v>
      </c>
    </row>
    <row r="195" spans="1:9" hidden="1" x14ac:dyDescent="0.35">
      <c r="A195" s="66" t="s">
        <v>2907</v>
      </c>
      <c r="B195" s="89"/>
      <c r="C195" s="89"/>
      <c r="D195" s="235"/>
      <c r="E195" s="89"/>
      <c r="F195" s="89"/>
      <c r="G195" s="89"/>
      <c r="H195" s="66" t="str">
        <f>VLOOKUP(A195,'Tot KPA'!A:H,8,0)</f>
        <v>Employee related cost</v>
      </c>
      <c r="I195" s="66" t="str">
        <f>VLOOKUP(A195,'Tot KPA'!A:I,9,0)</f>
        <v>Salaries</v>
      </c>
    </row>
    <row r="196" spans="1:9" hidden="1" x14ac:dyDescent="0.35">
      <c r="A196" s="66" t="s">
        <v>2908</v>
      </c>
      <c r="B196" s="89"/>
      <c r="C196" s="89"/>
      <c r="D196" s="235"/>
      <c r="E196" s="89"/>
      <c r="F196" s="89"/>
      <c r="G196" s="89"/>
      <c r="H196" s="66" t="str">
        <f>VLOOKUP(A196,'Tot KPA'!A:H,8,0)</f>
        <v>Employee related cost</v>
      </c>
      <c r="I196" s="66" t="str">
        <f>VLOOKUP(A196,'Tot KPA'!A:I,9,0)</f>
        <v>Salaries</v>
      </c>
    </row>
    <row r="197" spans="1:9" hidden="1" x14ac:dyDescent="0.35">
      <c r="A197" s="66" t="s">
        <v>2909</v>
      </c>
      <c r="B197" s="89"/>
      <c r="C197" s="89"/>
      <c r="D197" s="235"/>
      <c r="E197" s="89"/>
      <c r="F197" s="89"/>
      <c r="G197" s="89"/>
      <c r="H197" s="66" t="str">
        <f>VLOOKUP(A197,'Tot KPA'!A:H,8,0)</f>
        <v>Employee related cost</v>
      </c>
      <c r="I197" s="66" t="str">
        <f>VLOOKUP(A197,'Tot KPA'!A:I,9,0)</f>
        <v>Salaries</v>
      </c>
    </row>
    <row r="198" spans="1:9" x14ac:dyDescent="0.35">
      <c r="A198" s="66" t="s">
        <v>2910</v>
      </c>
      <c r="B198" s="89">
        <v>1500</v>
      </c>
      <c r="C198" s="89">
        <v>1500</v>
      </c>
      <c r="D198" s="235">
        <v>1471.51</v>
      </c>
      <c r="E198" s="235">
        <v>1500</v>
      </c>
      <c r="F198" s="235">
        <v>1600</v>
      </c>
      <c r="G198" s="235">
        <v>1700</v>
      </c>
      <c r="H198" s="66" t="str">
        <f>VLOOKUP(A198,'Tot KPA'!A:H,8,0)</f>
        <v>Employee related cost</v>
      </c>
      <c r="I198" s="66" t="str">
        <f>VLOOKUP(A198,'Tot KPA'!A:I,9,0)</f>
        <v>Social</v>
      </c>
    </row>
    <row r="199" spans="1:9" hidden="1" x14ac:dyDescent="0.35">
      <c r="A199" s="66" t="s">
        <v>3125</v>
      </c>
      <c r="B199" s="89"/>
      <c r="C199" s="89"/>
      <c r="D199" s="89"/>
      <c r="E199" s="89"/>
      <c r="F199" s="89"/>
      <c r="G199" s="89"/>
      <c r="H199" s="66" t="str">
        <f>VLOOKUP(A199,'Tot KPA'!A:H,8,0)</f>
        <v>Capital Expenditure</v>
      </c>
      <c r="I199" s="66">
        <f>VLOOKUP(A199,'Tot KPA'!A:I,9,0)</f>
        <v>0</v>
      </c>
    </row>
    <row r="200" spans="1:9" hidden="1" x14ac:dyDescent="0.35">
      <c r="A200" s="66" t="s">
        <v>3126</v>
      </c>
      <c r="B200" s="89"/>
      <c r="C200" s="89"/>
      <c r="D200" s="89"/>
      <c r="E200" s="89"/>
      <c r="F200" s="89"/>
      <c r="G200" s="89"/>
      <c r="H200" s="66" t="str">
        <f>VLOOKUP(A200,'Tot KPA'!A:H,8,0)</f>
        <v>Capital Expenditure</v>
      </c>
      <c r="I200" s="66">
        <f>VLOOKUP(A200,'Tot KPA'!A:I,9,0)</f>
        <v>0</v>
      </c>
    </row>
    <row r="201" spans="1:9" hidden="1" x14ac:dyDescent="0.35">
      <c r="A201" s="66" t="s">
        <v>2986</v>
      </c>
      <c r="B201" s="89"/>
      <c r="C201" s="89"/>
      <c r="D201" s="89"/>
      <c r="E201" s="89"/>
      <c r="F201" s="89"/>
      <c r="G201" s="89"/>
      <c r="H201" s="66" t="str">
        <f>VLOOKUP(A201,'Tot KPA'!A:H,8,0)</f>
        <v>Other expenditure</v>
      </c>
      <c r="I201" s="66">
        <f>VLOOKUP(A201,'Tot KPA'!A:I,9,0)</f>
        <v>0</v>
      </c>
    </row>
    <row r="202" spans="1:9" hidden="1" x14ac:dyDescent="0.35">
      <c r="A202" s="66" t="s">
        <v>2995</v>
      </c>
      <c r="B202" s="89"/>
      <c r="C202" s="89"/>
      <c r="D202" s="89"/>
      <c r="E202" s="89"/>
      <c r="F202" s="89"/>
      <c r="G202" s="89"/>
      <c r="H202" s="66" t="str">
        <f>VLOOKUP(A202,'Tot KPA'!A:H,8,0)</f>
        <v>Other expenditure</v>
      </c>
      <c r="I202" s="66">
        <f>VLOOKUP(A202,'Tot KPA'!A:I,9,0)</f>
        <v>0</v>
      </c>
    </row>
    <row r="203" spans="1:9" hidden="1" x14ac:dyDescent="0.35">
      <c r="A203" s="66" t="s">
        <v>2994</v>
      </c>
      <c r="B203" s="89"/>
      <c r="C203" s="89"/>
      <c r="D203" s="89"/>
      <c r="E203" s="89"/>
      <c r="F203" s="89"/>
      <c r="G203" s="89"/>
      <c r="H203" s="66" t="str">
        <f>VLOOKUP(A203,'Tot KPA'!A:H,8,0)</f>
        <v>Other expenditure</v>
      </c>
      <c r="I203" s="66">
        <f>VLOOKUP(A203,'Tot KPA'!A:I,9,0)</f>
        <v>0</v>
      </c>
    </row>
    <row r="204" spans="1:9" hidden="1" x14ac:dyDescent="0.35">
      <c r="A204" s="66" t="s">
        <v>2999</v>
      </c>
      <c r="B204" s="89"/>
      <c r="C204" s="89"/>
      <c r="D204" s="89"/>
      <c r="E204" s="89"/>
      <c r="F204" s="89"/>
      <c r="G204" s="89"/>
      <c r="H204" s="66" t="str">
        <f>VLOOKUP(A204,'Tot KPA'!A:H,8,0)</f>
        <v>Transfers</v>
      </c>
      <c r="I204" s="66">
        <f>VLOOKUP(A204,'Tot KPA'!A:I,9,0)</f>
        <v>0</v>
      </c>
    </row>
    <row r="205" spans="1:9" hidden="1" x14ac:dyDescent="0.35">
      <c r="A205" s="66" t="s">
        <v>2998</v>
      </c>
      <c r="B205" s="89"/>
      <c r="C205" s="89"/>
      <c r="D205" s="89"/>
      <c r="E205" s="89"/>
      <c r="F205" s="89"/>
      <c r="G205" s="89"/>
      <c r="H205" s="66" t="str">
        <f>VLOOKUP(A205,'Tot KPA'!A:H,8,0)</f>
        <v>Transfers</v>
      </c>
      <c r="I205" s="66">
        <f>VLOOKUP(A205,'Tot KPA'!A:I,9,0)</f>
        <v>0</v>
      </c>
    </row>
    <row r="206" spans="1:9" hidden="1" x14ac:dyDescent="0.35">
      <c r="A206" s="66" t="s">
        <v>2996</v>
      </c>
      <c r="B206" s="89"/>
      <c r="C206" s="89"/>
      <c r="D206" s="89"/>
      <c r="E206" s="89"/>
      <c r="F206" s="89"/>
      <c r="G206" s="89"/>
      <c r="H206" s="66" t="str">
        <f>VLOOKUP(A206,'Tot KPA'!A:H,8,0)</f>
        <v>Other expenditure</v>
      </c>
      <c r="I206" s="66">
        <f>VLOOKUP(A206,'Tot KPA'!A:I,9,0)</f>
        <v>0</v>
      </c>
    </row>
    <row r="207" spans="1:9" hidden="1" x14ac:dyDescent="0.35">
      <c r="A207" s="66" t="s">
        <v>2997</v>
      </c>
      <c r="B207" s="89"/>
      <c r="C207" s="89"/>
      <c r="D207" s="89"/>
      <c r="E207" s="89"/>
      <c r="F207" s="89"/>
      <c r="G207" s="89"/>
      <c r="H207" s="66" t="str">
        <f>VLOOKUP(A207,'Tot KPA'!A:H,8,0)</f>
        <v>Other expenditure</v>
      </c>
      <c r="I207" s="66">
        <f>VLOOKUP(A207,'Tot KPA'!A:I,9,0)</f>
        <v>0</v>
      </c>
    </row>
    <row r="208" spans="1:9" hidden="1" x14ac:dyDescent="0.35">
      <c r="A208" s="66" t="s">
        <v>2993</v>
      </c>
      <c r="B208" s="89"/>
      <c r="C208" s="89"/>
      <c r="D208" s="89"/>
      <c r="E208" s="89"/>
      <c r="F208" s="89"/>
      <c r="G208" s="89"/>
      <c r="H208" s="66" t="str">
        <f>VLOOKUP(A208,'Tot KPA'!A:H,8,0)</f>
        <v>Other expenditure</v>
      </c>
      <c r="I208" s="66">
        <f>VLOOKUP(A208,'Tot KPA'!A:I,9,0)</f>
        <v>0</v>
      </c>
    </row>
    <row r="209" spans="1:9" hidden="1" x14ac:dyDescent="0.35">
      <c r="A209" s="66" t="s">
        <v>3065</v>
      </c>
      <c r="B209" s="89"/>
      <c r="C209" s="89"/>
      <c r="D209" s="89"/>
      <c r="E209" s="89"/>
      <c r="F209" s="89"/>
      <c r="G209" s="89"/>
      <c r="H209" s="66" t="str">
        <f>VLOOKUP(A209,'Tot KPA'!A:H,8,0)</f>
        <v>Other expenditure</v>
      </c>
      <c r="I209" s="66" t="str">
        <f>VLOOKUP(A209,'Tot KPA'!A:I,9,0)</f>
        <v>Repayment of borrowing</v>
      </c>
    </row>
    <row r="210" spans="1:9" hidden="1" x14ac:dyDescent="0.35">
      <c r="A210" s="66" t="s">
        <v>3064</v>
      </c>
      <c r="B210" s="89"/>
      <c r="C210" s="89"/>
      <c r="D210" s="89"/>
      <c r="E210" s="89"/>
      <c r="F210" s="89"/>
      <c r="G210" s="89"/>
      <c r="H210" s="66" t="str">
        <f>VLOOKUP(A210,'Tot KPA'!A:H,8,0)</f>
        <v>Finance Charges</v>
      </c>
      <c r="I210" s="66">
        <f>VLOOKUP(A210,'Tot KPA'!A:I,9,0)</f>
        <v>0</v>
      </c>
    </row>
    <row r="211" spans="1:9" hidden="1" x14ac:dyDescent="0.35">
      <c r="A211" s="66" t="s">
        <v>2734</v>
      </c>
      <c r="B211" s="89"/>
      <c r="C211" s="89"/>
      <c r="D211" s="89"/>
      <c r="E211" s="89"/>
      <c r="F211" s="89"/>
      <c r="G211" s="89"/>
      <c r="H211" s="66" t="str">
        <f>VLOOKUP(A211,'Tot KPA'!A:H,8,0)</f>
        <v>Other expenditure</v>
      </c>
      <c r="I211" s="66">
        <f>VLOOKUP(A211,'Tot KPA'!A:I,9,0)</f>
        <v>0</v>
      </c>
    </row>
    <row r="212" spans="1:9" hidden="1" x14ac:dyDescent="0.35">
      <c r="A212" s="66" t="s">
        <v>3061</v>
      </c>
      <c r="B212" s="89"/>
      <c r="C212" s="89"/>
      <c r="D212" s="89"/>
      <c r="E212" s="89"/>
      <c r="F212" s="89"/>
      <c r="G212" s="89"/>
      <c r="H212" s="66" t="str">
        <f>VLOOKUP(A212,'Tot KPA'!A:H,8,0)</f>
        <v>Other expenditure</v>
      </c>
      <c r="I212" s="66" t="str">
        <f>VLOOKUP(A212,'Tot KPA'!A:I,9,0)</f>
        <v>Repayment of borrowing</v>
      </c>
    </row>
    <row r="213" spans="1:9" hidden="1" x14ac:dyDescent="0.35">
      <c r="A213" s="66" t="s">
        <v>3060</v>
      </c>
      <c r="B213" s="89"/>
      <c r="C213" s="89"/>
      <c r="D213" s="89"/>
      <c r="E213" s="89"/>
      <c r="F213" s="89"/>
      <c r="G213" s="89"/>
      <c r="H213" s="66" t="str">
        <f>VLOOKUP(A213,'Tot KPA'!A:H,8,0)</f>
        <v>Finance Charges</v>
      </c>
      <c r="I213" s="66">
        <f>VLOOKUP(A213,'Tot KPA'!A:I,9,0)</f>
        <v>0</v>
      </c>
    </row>
    <row r="214" spans="1:9" hidden="1" x14ac:dyDescent="0.35">
      <c r="A214" s="66" t="s">
        <v>2891</v>
      </c>
      <c r="B214" s="89"/>
      <c r="C214" s="89"/>
      <c r="D214" s="89"/>
      <c r="E214" s="89"/>
      <c r="F214" s="89"/>
      <c r="G214" s="89"/>
      <c r="H214" s="66" t="str">
        <f>VLOOKUP(A214,'Tot KPA'!A:H,8,0)</f>
        <v>Other materials</v>
      </c>
      <c r="I214" s="66">
        <f>VLOOKUP(A214,'Tot KPA'!A:I,9,0)</f>
        <v>0</v>
      </c>
    </row>
    <row r="215" spans="1:9" hidden="1" x14ac:dyDescent="0.35">
      <c r="A215" s="66" t="s">
        <v>3478</v>
      </c>
      <c r="B215" s="89"/>
      <c r="C215" s="89"/>
      <c r="D215" s="89"/>
      <c r="E215" s="89"/>
      <c r="F215" s="89"/>
      <c r="G215" s="89"/>
      <c r="H215" s="66" t="str">
        <f>VLOOKUP(A215,'Tot KPA'!A:H,8,0)</f>
        <v>Capital Expenditure</v>
      </c>
      <c r="I215" s="66">
        <f>VLOOKUP(A215,'Tot KPA'!A:I,9,0)</f>
        <v>0</v>
      </c>
    </row>
    <row r="216" spans="1:9" hidden="1" x14ac:dyDescent="0.35">
      <c r="A216" s="66" t="s">
        <v>2851</v>
      </c>
      <c r="B216" s="89"/>
      <c r="C216" s="89"/>
      <c r="D216" s="89"/>
      <c r="E216" s="89"/>
      <c r="F216" s="89"/>
      <c r="G216" s="89"/>
      <c r="H216" s="66" t="str">
        <f>VLOOKUP(A216,'Tot KPA'!A:H,8,0)</f>
        <v>Other expenditure</v>
      </c>
      <c r="I216" s="66">
        <f>VLOOKUP(A216,'Tot KPA'!A:I,9,0)</f>
        <v>0</v>
      </c>
    </row>
    <row r="217" spans="1:9" hidden="1" x14ac:dyDescent="0.35">
      <c r="A217" s="66" t="s">
        <v>3047</v>
      </c>
      <c r="B217" s="89"/>
      <c r="C217" s="89"/>
      <c r="D217" s="89"/>
      <c r="E217" s="89"/>
      <c r="F217" s="89"/>
      <c r="G217" s="89"/>
      <c r="H217" s="66" t="str">
        <f>VLOOKUP(A217,'Tot KPA'!A:H,8,0)</f>
        <v>Other expenditure</v>
      </c>
      <c r="I217" s="66">
        <f>VLOOKUP(A217,'Tot KPA'!A:I,9,0)</f>
        <v>0</v>
      </c>
    </row>
    <row r="218" spans="1:9" hidden="1" x14ac:dyDescent="0.35">
      <c r="A218" s="66" t="s">
        <v>2853</v>
      </c>
      <c r="B218" s="89"/>
      <c r="C218" s="89"/>
      <c r="D218" s="89"/>
      <c r="E218" s="89"/>
      <c r="F218" s="89"/>
      <c r="G218" s="89"/>
      <c r="H218" s="66" t="str">
        <f>VLOOKUP(A218,'Tot KPA'!A:H,8,0)</f>
        <v>Contracted services</v>
      </c>
      <c r="I218" s="66">
        <f>VLOOKUP(A218,'Tot KPA'!A:I,9,0)</f>
        <v>0</v>
      </c>
    </row>
    <row r="219" spans="1:9" hidden="1" x14ac:dyDescent="0.35">
      <c r="A219" s="66" t="s">
        <v>3043</v>
      </c>
      <c r="B219" s="89"/>
      <c r="C219" s="89"/>
      <c r="D219" s="89"/>
      <c r="E219" s="89"/>
      <c r="F219" s="89"/>
      <c r="G219" s="89"/>
      <c r="H219" s="66" t="str">
        <f>VLOOKUP(A219,'Tot KPA'!A:H,8,0)</f>
        <v>Transfers</v>
      </c>
      <c r="I219" s="66">
        <f>VLOOKUP(A219,'Tot KPA'!A:I,9,0)</f>
        <v>0</v>
      </c>
    </row>
    <row r="220" spans="1:9" hidden="1" x14ac:dyDescent="0.35">
      <c r="A220" s="66" t="s">
        <v>3045</v>
      </c>
      <c r="B220" s="89"/>
      <c r="C220" s="89"/>
      <c r="D220" s="89"/>
      <c r="E220" s="89"/>
      <c r="F220" s="89"/>
      <c r="G220" s="89"/>
      <c r="H220" s="66" t="str">
        <f>VLOOKUP(A220,'Tot KPA'!A:H,8,0)</f>
        <v>Other expenditure</v>
      </c>
      <c r="I220" s="66">
        <f>VLOOKUP(A220,'Tot KPA'!A:I,9,0)</f>
        <v>0</v>
      </c>
    </row>
    <row r="221" spans="1:9" hidden="1" x14ac:dyDescent="0.35">
      <c r="A221" s="66" t="s">
        <v>3044</v>
      </c>
      <c r="B221" s="89"/>
      <c r="C221" s="89"/>
      <c r="D221" s="89"/>
      <c r="E221" s="89"/>
      <c r="F221" s="89"/>
      <c r="G221" s="89"/>
      <c r="H221" s="66" t="str">
        <f>VLOOKUP(A221,'Tot KPA'!A:H,8,0)</f>
        <v>Other expenditure</v>
      </c>
      <c r="I221" s="66">
        <f>VLOOKUP(A221,'Tot KPA'!A:I,9,0)</f>
        <v>0</v>
      </c>
    </row>
    <row r="222" spans="1:9" hidden="1" x14ac:dyDescent="0.35">
      <c r="A222" s="66" t="s">
        <v>2916</v>
      </c>
      <c r="B222" s="89"/>
      <c r="C222" s="89"/>
      <c r="D222" s="89"/>
      <c r="E222" s="89"/>
      <c r="F222" s="89"/>
      <c r="G222" s="89"/>
      <c r="H222" s="66" t="str">
        <f>VLOOKUP(A222,'Tot KPA'!A:H,8,0)</f>
        <v>Other expenditure</v>
      </c>
      <c r="I222" s="66">
        <f>VLOOKUP(A222,'Tot KPA'!A:I,9,0)</f>
        <v>0</v>
      </c>
    </row>
    <row r="223" spans="1:9" hidden="1" x14ac:dyDescent="0.35">
      <c r="A223" s="66" t="s">
        <v>2856</v>
      </c>
      <c r="B223" s="89"/>
      <c r="C223" s="89"/>
      <c r="D223" s="89"/>
      <c r="E223" s="89"/>
      <c r="F223" s="89"/>
      <c r="G223" s="89"/>
      <c r="H223" s="66" t="str">
        <f>VLOOKUP(A223,'Tot KPA'!A:H,8,0)</f>
        <v>Losses</v>
      </c>
      <c r="I223" s="66">
        <f>VLOOKUP(A223,'Tot KPA'!A:I,9,0)</f>
        <v>0</v>
      </c>
    </row>
    <row r="224" spans="1:9" hidden="1" x14ac:dyDescent="0.35">
      <c r="A224" s="66" t="s">
        <v>2987</v>
      </c>
      <c r="B224" s="89"/>
      <c r="C224" s="89"/>
      <c r="D224" s="89"/>
      <c r="E224" s="89"/>
      <c r="F224" s="89"/>
      <c r="G224" s="89"/>
      <c r="H224" s="66" t="str">
        <f>VLOOKUP(A224,'Tot KPA'!A:H,8,0)</f>
        <v>Other expenditure</v>
      </c>
      <c r="I224" s="66">
        <f>VLOOKUP(A224,'Tot KPA'!A:I,9,0)</f>
        <v>0</v>
      </c>
    </row>
    <row r="225" spans="1:9" hidden="1" x14ac:dyDescent="0.35">
      <c r="A225" s="66" t="s">
        <v>3038</v>
      </c>
      <c r="B225" s="89"/>
      <c r="C225" s="89"/>
      <c r="D225" s="89"/>
      <c r="E225" s="89"/>
      <c r="F225" s="89"/>
      <c r="G225" s="89"/>
      <c r="H225" s="66" t="str">
        <f>VLOOKUP(A225,'Tot KPA'!A:H,8,0)</f>
        <v>Contracted services</v>
      </c>
      <c r="I225" s="66" t="str">
        <f>VLOOKUP(A225,'Tot KPA'!A:I,9,0)</f>
        <v>Repairs and Maintenance</v>
      </c>
    </row>
    <row r="226" spans="1:9" hidden="1" x14ac:dyDescent="0.35">
      <c r="A226" s="66" t="s">
        <v>3031</v>
      </c>
      <c r="B226" s="89"/>
      <c r="C226" s="89"/>
      <c r="D226" s="89"/>
      <c r="E226" s="89"/>
      <c r="F226" s="89"/>
      <c r="G226" s="89"/>
      <c r="H226" s="66" t="str">
        <f>VLOOKUP(A226,'Tot KPA'!A:H,8,0)</f>
        <v>Contracted services</v>
      </c>
      <c r="I226" s="66" t="str">
        <f>VLOOKUP(A226,'Tot KPA'!A:I,9,0)</f>
        <v>Repairs and Maintenance</v>
      </c>
    </row>
    <row r="227" spans="1:9" hidden="1" x14ac:dyDescent="0.35">
      <c r="A227" s="66" t="s">
        <v>3035</v>
      </c>
      <c r="B227" s="89"/>
      <c r="C227" s="89"/>
      <c r="D227" s="89"/>
      <c r="E227" s="89"/>
      <c r="F227" s="89"/>
      <c r="G227" s="89"/>
      <c r="H227" s="66" t="str">
        <f>VLOOKUP(A227,'Tot KPA'!A:H,8,0)</f>
        <v>Contracted services</v>
      </c>
      <c r="I227" s="66" t="str">
        <f>VLOOKUP(A227,'Tot KPA'!A:I,9,0)</f>
        <v>Repairs and Maintenance</v>
      </c>
    </row>
    <row r="228" spans="1:9" hidden="1" x14ac:dyDescent="0.35">
      <c r="A228" s="66" t="s">
        <v>3026</v>
      </c>
      <c r="B228" s="89"/>
      <c r="C228" s="89"/>
      <c r="D228" s="89"/>
      <c r="E228" s="89"/>
      <c r="F228" s="89"/>
      <c r="G228" s="89"/>
      <c r="H228" s="66" t="str">
        <f>VLOOKUP(A228,'Tot KPA'!A:H,8,0)</f>
        <v>Contracted services</v>
      </c>
      <c r="I228" s="66" t="str">
        <f>VLOOKUP(A228,'Tot KPA'!A:I,9,0)</f>
        <v>Repairs and Maintenance</v>
      </c>
    </row>
    <row r="229" spans="1:9" hidden="1" x14ac:dyDescent="0.35">
      <c r="A229" s="66" t="s">
        <v>3027</v>
      </c>
      <c r="B229" s="89"/>
      <c r="C229" s="89"/>
      <c r="D229" s="89"/>
      <c r="E229" s="89"/>
      <c r="F229" s="89"/>
      <c r="G229" s="89"/>
      <c r="H229" s="66" t="str">
        <f>VLOOKUP(A229,'Tot KPA'!A:H,8,0)</f>
        <v>Contracted services</v>
      </c>
      <c r="I229" s="66" t="str">
        <f>VLOOKUP(A229,'Tot KPA'!A:I,9,0)</f>
        <v>Repairs and Maintenance</v>
      </c>
    </row>
    <row r="230" spans="1:9" hidden="1" x14ac:dyDescent="0.35">
      <c r="A230" s="66" t="s">
        <v>3025</v>
      </c>
      <c r="B230" s="89"/>
      <c r="C230" s="89"/>
      <c r="D230" s="89"/>
      <c r="E230" s="89"/>
      <c r="F230" s="89"/>
      <c r="G230" s="89"/>
      <c r="H230" s="66" t="str">
        <f>VLOOKUP(A230,'Tot KPA'!A:H,8,0)</f>
        <v>Contracted services</v>
      </c>
      <c r="I230" s="66" t="str">
        <f>VLOOKUP(A230,'Tot KPA'!A:I,9,0)</f>
        <v>Repairs and Maintenance</v>
      </c>
    </row>
    <row r="231" spans="1:9" hidden="1" x14ac:dyDescent="0.35">
      <c r="A231" s="66" t="s">
        <v>3028</v>
      </c>
      <c r="B231" s="89"/>
      <c r="C231" s="89"/>
      <c r="D231" s="89"/>
      <c r="E231" s="89"/>
      <c r="F231" s="89"/>
      <c r="G231" s="89"/>
      <c r="H231" s="66" t="str">
        <f>VLOOKUP(A231,'Tot KPA'!A:H,8,0)</f>
        <v>Contracted services</v>
      </c>
      <c r="I231" s="66" t="str">
        <f>VLOOKUP(A231,'Tot KPA'!A:I,9,0)</f>
        <v>Repairs and Maintenance</v>
      </c>
    </row>
    <row r="232" spans="1:9" hidden="1" x14ac:dyDescent="0.35">
      <c r="A232" s="66" t="s">
        <v>3036</v>
      </c>
      <c r="B232" s="89"/>
      <c r="C232" s="89"/>
      <c r="D232" s="89"/>
      <c r="E232" s="89"/>
      <c r="F232" s="89"/>
      <c r="G232" s="89"/>
      <c r="H232" s="66" t="str">
        <f>VLOOKUP(A232,'Tot KPA'!A:H,8,0)</f>
        <v>Contracted services</v>
      </c>
      <c r="I232" s="66" t="str">
        <f>VLOOKUP(A232,'Tot KPA'!A:I,9,0)</f>
        <v>Repairs and Maintenance</v>
      </c>
    </row>
    <row r="233" spans="1:9" hidden="1" x14ac:dyDescent="0.35">
      <c r="A233" s="66" t="s">
        <v>3057</v>
      </c>
      <c r="B233" s="89"/>
      <c r="C233" s="89"/>
      <c r="D233" s="89"/>
      <c r="E233" s="89"/>
      <c r="F233" s="89"/>
      <c r="G233" s="89"/>
      <c r="H233" s="66" t="str">
        <f>VLOOKUP(A233,'Tot KPA'!A:H,8,0)</f>
        <v>Contracted services</v>
      </c>
      <c r="I233" s="66" t="str">
        <f>VLOOKUP(A233,'Tot KPA'!A:I,9,0)</f>
        <v>Repairs and Maintenance</v>
      </c>
    </row>
    <row r="234" spans="1:9" hidden="1" x14ac:dyDescent="0.35">
      <c r="A234" s="66" t="s">
        <v>3034</v>
      </c>
      <c r="B234" s="89"/>
      <c r="C234" s="89"/>
      <c r="D234" s="89"/>
      <c r="E234" s="89"/>
      <c r="F234" s="89"/>
      <c r="G234" s="89"/>
      <c r="H234" s="66" t="str">
        <f>VLOOKUP(A234,'Tot KPA'!A:H,8,0)</f>
        <v>Contracted services</v>
      </c>
      <c r="I234" s="66" t="str">
        <f>VLOOKUP(A234,'Tot KPA'!A:I,9,0)</f>
        <v>Repairs and Maintenance</v>
      </c>
    </row>
    <row r="235" spans="1:9" hidden="1" x14ac:dyDescent="0.35">
      <c r="A235" s="66" t="s">
        <v>3033</v>
      </c>
      <c r="B235" s="89"/>
      <c r="C235" s="89"/>
      <c r="D235" s="89"/>
      <c r="E235" s="89"/>
      <c r="F235" s="89"/>
      <c r="G235" s="89"/>
      <c r="H235" s="66" t="str">
        <f>VLOOKUP(A235,'Tot KPA'!A:H,8,0)</f>
        <v>Contracted services</v>
      </c>
      <c r="I235" s="66" t="str">
        <f>VLOOKUP(A235,'Tot KPA'!A:I,9,0)</f>
        <v>Repairs and Maintenance</v>
      </c>
    </row>
    <row r="236" spans="1:9" hidden="1" x14ac:dyDescent="0.35">
      <c r="A236" s="66" t="s">
        <v>3029</v>
      </c>
      <c r="B236" s="89"/>
      <c r="C236" s="89"/>
      <c r="D236" s="89"/>
      <c r="E236" s="89"/>
      <c r="F236" s="89"/>
      <c r="G236" s="89"/>
      <c r="H236" s="66" t="str">
        <f>VLOOKUP(A236,'Tot KPA'!A:H,8,0)</f>
        <v>Contracted services</v>
      </c>
      <c r="I236" s="66" t="str">
        <f>VLOOKUP(A236,'Tot KPA'!A:I,9,0)</f>
        <v>Repairs and Maintenance</v>
      </c>
    </row>
    <row r="237" spans="1:9" hidden="1" x14ac:dyDescent="0.35">
      <c r="A237" s="66" t="s">
        <v>3030</v>
      </c>
      <c r="B237" s="89"/>
      <c r="C237" s="89"/>
      <c r="D237" s="89"/>
      <c r="E237" s="89"/>
      <c r="F237" s="89"/>
      <c r="G237" s="89"/>
      <c r="H237" s="66" t="str">
        <f>VLOOKUP(A237,'Tot KPA'!A:H,8,0)</f>
        <v>Contracted services</v>
      </c>
      <c r="I237" s="66" t="str">
        <f>VLOOKUP(A237,'Tot KPA'!A:I,9,0)</f>
        <v>Repairs and Maintenance</v>
      </c>
    </row>
    <row r="238" spans="1:9" hidden="1" x14ac:dyDescent="0.35">
      <c r="A238" s="66" t="s">
        <v>2933</v>
      </c>
      <c r="B238" s="89"/>
      <c r="C238" s="89"/>
      <c r="D238" s="89"/>
      <c r="E238" s="89"/>
      <c r="F238" s="89"/>
      <c r="G238" s="89"/>
      <c r="H238" s="66" t="str">
        <f>VLOOKUP(A238,'Tot KPA'!A:H,8,0)</f>
        <v>Transfers</v>
      </c>
      <c r="I238" s="66">
        <f>VLOOKUP(A238,'Tot KPA'!A:I,9,0)</f>
        <v>0</v>
      </c>
    </row>
    <row r="239" spans="1:9" hidden="1" x14ac:dyDescent="0.35">
      <c r="A239" s="66" t="s">
        <v>2923</v>
      </c>
      <c r="B239" s="89"/>
      <c r="C239" s="89"/>
      <c r="D239" s="89"/>
      <c r="E239" s="89"/>
      <c r="F239" s="89"/>
      <c r="G239" s="89"/>
      <c r="H239" s="66" t="str">
        <f>VLOOKUP(A239,'Tot KPA'!A:H,8,0)</f>
        <v>Transfers</v>
      </c>
      <c r="I239" s="66">
        <f>VLOOKUP(A239,'Tot KPA'!A:I,9,0)</f>
        <v>0</v>
      </c>
    </row>
    <row r="240" spans="1:9" hidden="1" x14ac:dyDescent="0.35">
      <c r="A240" s="66" t="s">
        <v>2926</v>
      </c>
      <c r="B240" s="89"/>
      <c r="C240" s="89"/>
      <c r="D240" s="89"/>
      <c r="E240" s="89"/>
      <c r="F240" s="89"/>
      <c r="G240" s="89"/>
      <c r="H240" s="66" t="str">
        <f>VLOOKUP(A240,'Tot KPA'!A:H,8,0)</f>
        <v>Transfers</v>
      </c>
      <c r="I240" s="66">
        <f>VLOOKUP(A240,'Tot KPA'!A:I,9,0)</f>
        <v>0</v>
      </c>
    </row>
    <row r="241" spans="1:9" hidden="1" x14ac:dyDescent="0.35">
      <c r="A241" s="66" t="s">
        <v>2934</v>
      </c>
      <c r="B241" s="89"/>
      <c r="C241" s="89"/>
      <c r="D241" s="89"/>
      <c r="E241" s="89"/>
      <c r="F241" s="89"/>
      <c r="G241" s="89"/>
      <c r="H241" s="66" t="str">
        <f>VLOOKUP(A241,'Tot KPA'!A:H,8,0)</f>
        <v>Transfers</v>
      </c>
      <c r="I241" s="66">
        <f>VLOOKUP(A241,'Tot KPA'!A:I,9,0)</f>
        <v>0</v>
      </c>
    </row>
    <row r="242" spans="1:9" hidden="1" x14ac:dyDescent="0.35">
      <c r="A242" s="66" t="s">
        <v>2925</v>
      </c>
      <c r="B242" s="89"/>
      <c r="C242" s="89"/>
      <c r="D242" s="89"/>
      <c r="E242" s="89"/>
      <c r="F242" s="89"/>
      <c r="G242" s="89"/>
      <c r="H242" s="66" t="str">
        <f>VLOOKUP(A242,'Tot KPA'!A:H,8,0)</f>
        <v>Transfers</v>
      </c>
      <c r="I242" s="66">
        <f>VLOOKUP(A242,'Tot KPA'!A:I,9,0)</f>
        <v>0</v>
      </c>
    </row>
    <row r="243" spans="1:9" hidden="1" x14ac:dyDescent="0.35">
      <c r="A243" s="66" t="s">
        <v>2929</v>
      </c>
      <c r="B243" s="89"/>
      <c r="C243" s="89"/>
      <c r="D243" s="89"/>
      <c r="E243" s="89"/>
      <c r="F243" s="89"/>
      <c r="G243" s="89"/>
      <c r="H243" s="66" t="str">
        <f>VLOOKUP(A243,'Tot KPA'!A:H,8,0)</f>
        <v>Transfers</v>
      </c>
      <c r="I243" s="66">
        <f>VLOOKUP(A243,'Tot KPA'!A:I,9,0)</f>
        <v>0</v>
      </c>
    </row>
    <row r="244" spans="1:9" hidden="1" x14ac:dyDescent="0.35">
      <c r="A244" s="66" t="s">
        <v>2932</v>
      </c>
      <c r="B244" s="89"/>
      <c r="C244" s="89"/>
      <c r="D244" s="89"/>
      <c r="E244" s="89"/>
      <c r="F244" s="89"/>
      <c r="G244" s="89"/>
      <c r="H244" s="66" t="str">
        <f>VLOOKUP(A244,'Tot KPA'!A:H,8,0)</f>
        <v>Transfers</v>
      </c>
      <c r="I244" s="66">
        <f>VLOOKUP(A244,'Tot KPA'!A:I,9,0)</f>
        <v>0</v>
      </c>
    </row>
    <row r="245" spans="1:9" hidden="1" x14ac:dyDescent="0.35">
      <c r="A245" s="66" t="s">
        <v>2924</v>
      </c>
      <c r="B245" s="89"/>
      <c r="C245" s="89"/>
      <c r="D245" s="89"/>
      <c r="E245" s="89"/>
      <c r="F245" s="89"/>
      <c r="G245" s="89"/>
      <c r="H245" s="66" t="str">
        <f>VLOOKUP(A245,'Tot KPA'!A:H,8,0)</f>
        <v>Transfers</v>
      </c>
      <c r="I245" s="66">
        <f>VLOOKUP(A245,'Tot KPA'!A:I,9,0)</f>
        <v>0</v>
      </c>
    </row>
    <row r="246" spans="1:9" hidden="1" x14ac:dyDescent="0.35">
      <c r="A246" s="66" t="s">
        <v>2931</v>
      </c>
      <c r="B246" s="89"/>
      <c r="C246" s="89"/>
      <c r="D246" s="89"/>
      <c r="E246" s="89"/>
      <c r="F246" s="89"/>
      <c r="G246" s="89"/>
      <c r="H246" s="66" t="str">
        <f>VLOOKUP(A246,'Tot KPA'!A:H,8,0)</f>
        <v>Transfers</v>
      </c>
      <c r="I246" s="66">
        <f>VLOOKUP(A246,'Tot KPA'!A:I,9,0)</f>
        <v>0</v>
      </c>
    </row>
    <row r="247" spans="1:9" hidden="1" x14ac:dyDescent="0.35">
      <c r="A247" s="66" t="s">
        <v>2930</v>
      </c>
      <c r="B247" s="89"/>
      <c r="C247" s="89"/>
      <c r="D247" s="89"/>
      <c r="E247" s="89"/>
      <c r="F247" s="89"/>
      <c r="G247" s="89"/>
      <c r="H247" s="66" t="str">
        <f>VLOOKUP(A247,'Tot KPA'!A:H,8,0)</f>
        <v>Transfers</v>
      </c>
      <c r="I247" s="66">
        <f>VLOOKUP(A247,'Tot KPA'!A:I,9,0)</f>
        <v>0</v>
      </c>
    </row>
    <row r="248" spans="1:9" hidden="1" x14ac:dyDescent="0.35">
      <c r="A248" s="66" t="s">
        <v>2927</v>
      </c>
      <c r="B248" s="89"/>
      <c r="C248" s="89"/>
      <c r="D248" s="89"/>
      <c r="E248" s="89"/>
      <c r="F248" s="89"/>
      <c r="G248" s="89"/>
      <c r="H248" s="66" t="str">
        <f>VLOOKUP(A248,'Tot KPA'!A:H,8,0)</f>
        <v>Transfers</v>
      </c>
      <c r="I248" s="66">
        <f>VLOOKUP(A248,'Tot KPA'!A:I,9,0)</f>
        <v>0</v>
      </c>
    </row>
    <row r="249" spans="1:9" hidden="1" x14ac:dyDescent="0.35">
      <c r="A249" s="66" t="s">
        <v>2928</v>
      </c>
      <c r="B249" s="89"/>
      <c r="C249" s="89"/>
      <c r="D249" s="89"/>
      <c r="E249" s="89"/>
      <c r="F249" s="89"/>
      <c r="G249" s="89"/>
      <c r="H249" s="66" t="str">
        <f>VLOOKUP(A249,'Tot KPA'!A:H,8,0)</f>
        <v>Transfers</v>
      </c>
      <c r="I249" s="66">
        <f>VLOOKUP(A249,'Tot KPA'!A:I,9,0)</f>
        <v>0</v>
      </c>
    </row>
    <row r="250" spans="1:9" hidden="1" x14ac:dyDescent="0.35">
      <c r="A250" s="66" t="s">
        <v>2743</v>
      </c>
      <c r="B250" s="89"/>
      <c r="C250" s="89"/>
      <c r="D250" s="89"/>
      <c r="E250" s="89"/>
      <c r="F250" s="89"/>
      <c r="G250" s="89"/>
      <c r="H250" s="66" t="str">
        <f>VLOOKUP(A250,'Tot KPA'!A:H,8,0)</f>
        <v>Other expenditure</v>
      </c>
      <c r="I250" s="66">
        <f>VLOOKUP(A250,'Tot KPA'!A:I,9,0)</f>
        <v>0</v>
      </c>
    </row>
    <row r="251" spans="1:9" hidden="1" x14ac:dyDescent="0.35">
      <c r="A251" s="66" t="s">
        <v>3122</v>
      </c>
      <c r="B251" s="89"/>
      <c r="C251" s="89"/>
      <c r="D251" s="89"/>
      <c r="E251" s="89"/>
      <c r="F251" s="89"/>
      <c r="G251" s="89"/>
      <c r="H251" s="66" t="str">
        <f>VLOOKUP(A251,'Tot KPA'!A:H,8,0)</f>
        <v>Capital Expenditure</v>
      </c>
      <c r="I251" s="66">
        <f>VLOOKUP(A251,'Tot KPA'!A:I,9,0)</f>
        <v>0</v>
      </c>
    </row>
    <row r="252" spans="1:9" hidden="1" x14ac:dyDescent="0.35">
      <c r="A252" s="66" t="s">
        <v>3120</v>
      </c>
      <c r="B252" s="89"/>
      <c r="C252" s="89"/>
      <c r="D252" s="89"/>
      <c r="E252" s="89"/>
      <c r="F252" s="89"/>
      <c r="G252" s="89"/>
      <c r="H252" s="66" t="str">
        <f>VLOOKUP(A252,'Tot KPA'!A:H,8,0)</f>
        <v>Capital Expenditure</v>
      </c>
      <c r="I252" s="66">
        <f>VLOOKUP(A252,'Tot KPA'!A:I,9,0)</f>
        <v>0</v>
      </c>
    </row>
    <row r="253" spans="1:9" hidden="1" x14ac:dyDescent="0.35">
      <c r="A253" s="66" t="s">
        <v>3119</v>
      </c>
      <c r="B253" s="89"/>
      <c r="C253" s="89"/>
      <c r="D253" s="89"/>
      <c r="E253" s="89"/>
      <c r="F253" s="89"/>
      <c r="G253" s="89"/>
      <c r="H253" s="66" t="str">
        <f>VLOOKUP(A253,'Tot KPA'!A:H,8,0)</f>
        <v>Capital Expenditure</v>
      </c>
      <c r="I253" s="66">
        <f>VLOOKUP(A253,'Tot KPA'!A:I,9,0)</f>
        <v>0</v>
      </c>
    </row>
    <row r="254" spans="1:9" hidden="1" x14ac:dyDescent="0.35">
      <c r="A254" s="66" t="s">
        <v>3118</v>
      </c>
      <c r="B254" s="89"/>
      <c r="C254" s="89"/>
      <c r="D254" s="89"/>
      <c r="E254" s="89"/>
      <c r="F254" s="89"/>
      <c r="G254" s="89"/>
      <c r="H254" s="66" t="str">
        <f>VLOOKUP(A254,'Tot KPA'!A:H,8,0)</f>
        <v>Capital Expenditure</v>
      </c>
      <c r="I254" s="66">
        <f>VLOOKUP(A254,'Tot KPA'!A:I,9,0)</f>
        <v>0</v>
      </c>
    </row>
    <row r="255" spans="1:9" hidden="1" x14ac:dyDescent="0.35">
      <c r="A255" s="66" t="s">
        <v>3123</v>
      </c>
      <c r="B255" s="89"/>
      <c r="C255" s="89"/>
      <c r="D255" s="89"/>
      <c r="E255" s="89"/>
      <c r="F255" s="89"/>
      <c r="G255" s="89"/>
      <c r="H255" s="66" t="str">
        <f>VLOOKUP(A255,'Tot KPA'!A:H,8,0)</f>
        <v>Capital Expenditure</v>
      </c>
      <c r="I255" s="66">
        <f>VLOOKUP(A255,'Tot KPA'!A:I,9,0)</f>
        <v>0</v>
      </c>
    </row>
    <row r="256" spans="1:9" hidden="1" x14ac:dyDescent="0.35">
      <c r="A256" s="66" t="s">
        <v>3121</v>
      </c>
      <c r="B256" s="89"/>
      <c r="C256" s="89"/>
      <c r="D256" s="89"/>
      <c r="E256" s="89"/>
      <c r="F256" s="89"/>
      <c r="G256" s="89"/>
      <c r="H256" s="66" t="str">
        <f>VLOOKUP(A256,'Tot KPA'!A:H,8,0)</f>
        <v>Capital Expenditure</v>
      </c>
      <c r="I256" s="66">
        <f>VLOOKUP(A256,'Tot KPA'!A:I,9,0)</f>
        <v>0</v>
      </c>
    </row>
    <row r="257" spans="1:9" hidden="1" x14ac:dyDescent="0.35">
      <c r="A257" s="66" t="s">
        <v>3124</v>
      </c>
      <c r="B257" s="89"/>
      <c r="C257" s="89"/>
      <c r="D257" s="89"/>
      <c r="E257" s="89"/>
      <c r="F257" s="89"/>
      <c r="G257" s="89"/>
      <c r="H257" s="66" t="str">
        <f>VLOOKUP(A257,'Tot KPA'!A:H,8,0)</f>
        <v>Capital Expenditure</v>
      </c>
      <c r="I257" s="66">
        <f>VLOOKUP(A257,'Tot KPA'!A:I,9,0)</f>
        <v>0</v>
      </c>
    </row>
    <row r="258" spans="1:9" hidden="1" x14ac:dyDescent="0.35">
      <c r="A258" s="66" t="s">
        <v>2859</v>
      </c>
      <c r="B258" s="89"/>
      <c r="C258" s="89"/>
      <c r="D258" s="89"/>
      <c r="E258" s="89"/>
      <c r="F258" s="89"/>
      <c r="G258" s="89"/>
      <c r="H258" s="66" t="str">
        <f>VLOOKUP(A258,'Tot KPA'!A:H,8,0)</f>
        <v>Other expenditure</v>
      </c>
      <c r="I258" s="66">
        <f>VLOOKUP(A258,'Tot KPA'!A:I,9,0)</f>
        <v>0</v>
      </c>
    </row>
    <row r="259" spans="1:9" hidden="1" x14ac:dyDescent="0.35">
      <c r="A259" s="66" t="s">
        <v>2648</v>
      </c>
      <c r="B259" s="89"/>
      <c r="C259" s="89"/>
      <c r="D259" s="89"/>
      <c r="E259" s="89"/>
      <c r="F259" s="89"/>
      <c r="G259" s="89"/>
      <c r="H259" s="66" t="str">
        <f>VLOOKUP(A259,'Tot KPA'!A:H,8,0)</f>
        <v>Contracted services</v>
      </c>
      <c r="I259" s="66">
        <f>VLOOKUP(A259,'Tot KPA'!A:I,9,0)</f>
        <v>0</v>
      </c>
    </row>
    <row r="260" spans="1:9" hidden="1" x14ac:dyDescent="0.35">
      <c r="A260" s="66" t="s">
        <v>2860</v>
      </c>
      <c r="B260" s="89"/>
      <c r="C260" s="89"/>
      <c r="D260" s="89"/>
      <c r="E260" s="89"/>
      <c r="F260" s="89"/>
      <c r="G260" s="89"/>
      <c r="H260" s="66" t="str">
        <f>VLOOKUP(A260,'Tot KPA'!A:H,8,0)</f>
        <v>Other expenditure</v>
      </c>
      <c r="I260" s="66">
        <f>VLOOKUP(A260,'Tot KPA'!A:I,9,0)</f>
        <v>0</v>
      </c>
    </row>
    <row r="261" spans="1:9" hidden="1" x14ac:dyDescent="0.35">
      <c r="A261" s="66" t="s">
        <v>2861</v>
      </c>
      <c r="B261" s="89"/>
      <c r="C261" s="89"/>
      <c r="D261" s="89"/>
      <c r="E261" s="89"/>
      <c r="F261" s="89"/>
      <c r="G261" s="89"/>
      <c r="H261" s="66" t="str">
        <f>VLOOKUP(A261,'Tot KPA'!A:H,8,0)</f>
        <v>Other expenditure</v>
      </c>
      <c r="I261" s="66">
        <f>VLOOKUP(A261,'Tot KPA'!A:I,9,0)</f>
        <v>0</v>
      </c>
    </row>
    <row r="262" spans="1:9" hidden="1" x14ac:dyDescent="0.35">
      <c r="A262" s="66" t="s">
        <v>3427</v>
      </c>
      <c r="B262" s="89"/>
      <c r="C262" s="89"/>
      <c r="D262" s="89"/>
      <c r="E262" s="89"/>
      <c r="F262" s="89"/>
      <c r="G262" s="89"/>
      <c r="H262" s="66" t="str">
        <f>VLOOKUP(A262,'Tot KPA'!A:H,8,0)</f>
        <v>Capital Expenditure</v>
      </c>
      <c r="I262" s="66">
        <f>VLOOKUP(A262,'Tot KPA'!A:I,9,0)</f>
        <v>0</v>
      </c>
    </row>
    <row r="263" spans="1:9" hidden="1" x14ac:dyDescent="0.35">
      <c r="A263" s="66" t="s">
        <v>3041</v>
      </c>
      <c r="B263" s="89"/>
      <c r="C263" s="89"/>
      <c r="D263" s="89"/>
      <c r="E263" s="89"/>
      <c r="F263" s="89"/>
      <c r="G263" s="89"/>
      <c r="H263" s="66" t="str">
        <f>VLOOKUP(A263,'Tot KPA'!A:H,8,0)</f>
        <v>Other materials</v>
      </c>
      <c r="I263" s="66">
        <f>VLOOKUP(A263,'Tot KPA'!A:I,9,0)</f>
        <v>0</v>
      </c>
    </row>
    <row r="264" spans="1:9" hidden="1" x14ac:dyDescent="0.35">
      <c r="A264" s="66" t="s">
        <v>2862</v>
      </c>
      <c r="B264" s="89">
        <v>0</v>
      </c>
      <c r="C264" s="89"/>
      <c r="D264" s="89"/>
      <c r="E264" s="89"/>
      <c r="F264" s="89"/>
      <c r="G264" s="89"/>
      <c r="H264" s="66" t="str">
        <f>VLOOKUP(A264,'Tot KPA'!A:H,8,0)</f>
        <v>Other expenditure</v>
      </c>
      <c r="I264" s="66">
        <f>VLOOKUP(A264,'Tot KPA'!A:I,9,0)</f>
        <v>0</v>
      </c>
    </row>
    <row r="265" spans="1:9" hidden="1" x14ac:dyDescent="0.35">
      <c r="A265" s="66" t="s">
        <v>2914</v>
      </c>
      <c r="B265" s="89">
        <v>0</v>
      </c>
      <c r="C265" s="89"/>
      <c r="D265" s="89"/>
      <c r="E265" s="89"/>
      <c r="F265" s="89"/>
      <c r="G265" s="89"/>
      <c r="H265" s="66" t="str">
        <f>VLOOKUP(A265,'Tot KPA'!A:H,8,0)</f>
        <v>Contracted services</v>
      </c>
      <c r="I265" s="66">
        <f>VLOOKUP(A265,'Tot KPA'!A:I,9,0)</f>
        <v>0</v>
      </c>
    </row>
    <row r="266" spans="1:9" hidden="1" x14ac:dyDescent="0.35">
      <c r="A266" s="66" t="s">
        <v>3511</v>
      </c>
      <c r="B266" s="89">
        <v>0</v>
      </c>
      <c r="C266" s="89"/>
      <c r="D266" s="89"/>
      <c r="E266" s="89"/>
      <c r="F266" s="89"/>
      <c r="G266" s="89"/>
      <c r="H266" s="66" t="str">
        <f>VLOOKUP(A266,'Tot KPA'!A:H,8,0)</f>
        <v>Contracted services</v>
      </c>
      <c r="I266" s="66">
        <f>VLOOKUP(A266,'Tot KPA'!A:I,9,0)</f>
        <v>0</v>
      </c>
    </row>
    <row r="267" spans="1:9" hidden="1" x14ac:dyDescent="0.35">
      <c r="A267" s="66" t="s">
        <v>2911</v>
      </c>
      <c r="B267" s="89">
        <v>0</v>
      </c>
      <c r="C267" s="89"/>
      <c r="D267" s="89"/>
      <c r="E267" s="89"/>
      <c r="F267" s="89"/>
      <c r="G267" s="89"/>
      <c r="H267" s="66" t="str">
        <f>VLOOKUP(A267,'Tot KPA'!A:H,8,0)</f>
        <v>Contracted services</v>
      </c>
      <c r="I267" s="66">
        <f>VLOOKUP(A267,'Tot KPA'!A:I,9,0)</f>
        <v>0</v>
      </c>
    </row>
    <row r="268" spans="1:9" hidden="1" x14ac:dyDescent="0.35">
      <c r="A268" s="66" t="s">
        <v>3513</v>
      </c>
      <c r="B268" s="89">
        <v>0</v>
      </c>
      <c r="C268" s="89"/>
      <c r="D268" s="89"/>
      <c r="E268" s="89"/>
      <c r="F268" s="89"/>
      <c r="G268" s="89"/>
      <c r="H268" s="66" t="str">
        <f>VLOOKUP(A268,'Tot KPA'!A:H,8,0)</f>
        <v>Contracted services</v>
      </c>
      <c r="I268" s="66">
        <f>VLOOKUP(A268,'Tot KPA'!A:I,9,0)</f>
        <v>0</v>
      </c>
    </row>
    <row r="269" spans="1:9" hidden="1" x14ac:dyDescent="0.35">
      <c r="A269" s="66" t="s">
        <v>2915</v>
      </c>
      <c r="B269" s="89">
        <v>0</v>
      </c>
      <c r="C269" s="89"/>
      <c r="D269" s="89"/>
      <c r="E269" s="89"/>
      <c r="F269" s="89"/>
      <c r="G269" s="89"/>
      <c r="H269" s="66" t="str">
        <f>VLOOKUP(A269,'Tot KPA'!A:H,8,0)</f>
        <v>Contracted services</v>
      </c>
      <c r="I269" s="66">
        <f>VLOOKUP(A269,'Tot KPA'!A:I,9,0)</f>
        <v>0</v>
      </c>
    </row>
    <row r="270" spans="1:9" hidden="1" x14ac:dyDescent="0.35">
      <c r="A270" s="66" t="s">
        <v>3417</v>
      </c>
      <c r="B270" s="89">
        <v>0</v>
      </c>
      <c r="C270" s="89"/>
      <c r="D270" s="89"/>
      <c r="E270" s="89"/>
      <c r="F270" s="89"/>
      <c r="G270" s="89"/>
      <c r="H270" s="66" t="str">
        <f>VLOOKUP(A270,'Tot KPA'!A:H,8,0)</f>
        <v>Contracted services</v>
      </c>
      <c r="I270" s="66">
        <f>VLOOKUP(A270,'Tot KPA'!A:I,9,0)</f>
        <v>0</v>
      </c>
    </row>
    <row r="271" spans="1:9" hidden="1" x14ac:dyDescent="0.35">
      <c r="A271" s="66" t="s">
        <v>2918</v>
      </c>
      <c r="B271" s="89">
        <v>0</v>
      </c>
      <c r="C271" s="89"/>
      <c r="D271" s="89"/>
      <c r="E271" s="89"/>
      <c r="F271" s="89"/>
      <c r="G271" s="89"/>
      <c r="H271" s="66" t="str">
        <f>VLOOKUP(A271,'Tot KPA'!A:H,8,0)</f>
        <v>Contracted services</v>
      </c>
      <c r="I271" s="66">
        <f>VLOOKUP(A271,'Tot KPA'!A:I,9,0)</f>
        <v>0</v>
      </c>
    </row>
    <row r="272" spans="1:9" hidden="1" x14ac:dyDescent="0.35">
      <c r="A272" s="66" t="s">
        <v>3439</v>
      </c>
      <c r="B272" s="89"/>
      <c r="C272" s="89"/>
      <c r="D272" s="89"/>
      <c r="E272" s="89"/>
      <c r="F272" s="89"/>
      <c r="G272" s="89"/>
      <c r="H272" s="66" t="str">
        <f>VLOOKUP(A272,'Tot KPA'!A:H,8,0)</f>
        <v>Other expenditure</v>
      </c>
      <c r="I272" s="66">
        <f>VLOOKUP(A272,'Tot KPA'!A:I,9,0)</f>
        <v>0</v>
      </c>
    </row>
    <row r="273" spans="1:9" hidden="1" x14ac:dyDescent="0.35">
      <c r="A273" s="66" t="s">
        <v>3048</v>
      </c>
      <c r="B273" s="89">
        <v>0</v>
      </c>
      <c r="C273" s="89"/>
      <c r="D273" s="89"/>
      <c r="E273" s="89"/>
      <c r="F273" s="89"/>
      <c r="G273" s="89"/>
      <c r="H273" s="66" t="str">
        <f>VLOOKUP(A273,'Tot KPA'!A:H,8,0)</f>
        <v>Other expenditure</v>
      </c>
      <c r="I273" s="66">
        <f>VLOOKUP(A273,'Tot KPA'!A:I,9,0)</f>
        <v>0</v>
      </c>
    </row>
    <row r="274" spans="1:9" hidden="1" x14ac:dyDescent="0.35">
      <c r="A274" s="66" t="s">
        <v>2864</v>
      </c>
      <c r="B274" s="89">
        <v>0</v>
      </c>
      <c r="C274" s="89"/>
      <c r="D274" s="89"/>
      <c r="E274" s="89"/>
      <c r="F274" s="89"/>
      <c r="G274" s="89"/>
      <c r="H274" s="66" t="str">
        <f>VLOOKUP(A274,'Tot KPA'!A:H,8,0)</f>
        <v>Other Materials</v>
      </c>
      <c r="I274" s="66">
        <f>VLOOKUP(A274,'Tot KPA'!A:I,9,0)</f>
        <v>0</v>
      </c>
    </row>
    <row r="275" spans="1:9" hidden="1" x14ac:dyDescent="0.35">
      <c r="A275" s="66" t="s">
        <v>3476</v>
      </c>
      <c r="B275" s="89"/>
      <c r="C275" s="89"/>
      <c r="D275" s="89"/>
      <c r="E275" s="89"/>
      <c r="F275" s="89"/>
      <c r="G275" s="89"/>
      <c r="H275" s="66" t="str">
        <f>VLOOKUP(A275,'Tot KPA'!A:H,8,0)</f>
        <v>Other expenditure</v>
      </c>
      <c r="I275" s="66">
        <f>VLOOKUP(A275,'Tot KPA'!A:I,9,0)</f>
        <v>0</v>
      </c>
    </row>
    <row r="276" spans="1:9" hidden="1" x14ac:dyDescent="0.35">
      <c r="A276" s="66" t="s">
        <v>3418</v>
      </c>
      <c r="B276" s="89">
        <v>0</v>
      </c>
      <c r="C276" s="89"/>
      <c r="D276" s="89"/>
      <c r="E276" s="89"/>
      <c r="F276" s="89"/>
      <c r="G276" s="89"/>
      <c r="H276" s="66" t="str">
        <f>VLOOKUP(A276,'Tot KPA'!A:H,8,0)</f>
        <v>Contracted services</v>
      </c>
      <c r="I276" s="66">
        <f>VLOOKUP(A276,'Tot KPA'!A:I,9,0)</f>
        <v>0</v>
      </c>
    </row>
    <row r="277" spans="1:9" hidden="1" x14ac:dyDescent="0.35">
      <c r="A277" s="66" t="s">
        <v>3042</v>
      </c>
      <c r="B277" s="89">
        <v>0</v>
      </c>
      <c r="C277" s="89"/>
      <c r="D277" s="89"/>
      <c r="E277" s="89"/>
      <c r="F277" s="89"/>
      <c r="G277" s="89"/>
      <c r="H277" s="66" t="str">
        <f>VLOOKUP(A277,'Tot KPA'!A:H,8,0)</f>
        <v>Other expenditure</v>
      </c>
      <c r="I277" s="66">
        <f>VLOOKUP(A277,'Tot KPA'!A:I,9,0)</f>
        <v>0</v>
      </c>
    </row>
    <row r="278" spans="1:9" hidden="1" x14ac:dyDescent="0.35">
      <c r="A278" s="66" t="s">
        <v>2988</v>
      </c>
      <c r="B278" s="89">
        <v>0</v>
      </c>
      <c r="C278" s="89"/>
      <c r="D278" s="89"/>
      <c r="E278" s="89"/>
      <c r="F278" s="89"/>
      <c r="G278" s="89"/>
      <c r="H278" s="66" t="str">
        <f>VLOOKUP(A278,'Tot KPA'!A:H,8,0)</f>
        <v>Other expenditure</v>
      </c>
      <c r="I278" s="66">
        <f>VLOOKUP(A278,'Tot KPA'!A:I,9,0)</f>
        <v>0</v>
      </c>
    </row>
    <row r="279" spans="1:9" hidden="1" x14ac:dyDescent="0.35">
      <c r="A279" s="66" t="s">
        <v>2989</v>
      </c>
      <c r="B279" s="89">
        <v>0</v>
      </c>
      <c r="C279" s="89"/>
      <c r="D279" s="89"/>
      <c r="E279" s="89"/>
      <c r="F279" s="89"/>
      <c r="G279" s="89"/>
      <c r="H279" s="66" t="str">
        <f>VLOOKUP(A279,'Tot KPA'!A:H,8,0)</f>
        <v>Other expenditure</v>
      </c>
      <c r="I279" s="66">
        <f>VLOOKUP(A279,'Tot KPA'!A:I,9,0)</f>
        <v>0</v>
      </c>
    </row>
    <row r="280" spans="1:9" hidden="1" x14ac:dyDescent="0.35">
      <c r="A280" s="66" t="s">
        <v>3447</v>
      </c>
      <c r="B280" s="89"/>
      <c r="C280" s="89"/>
      <c r="D280" s="89"/>
      <c r="E280" s="89"/>
      <c r="F280" s="89"/>
      <c r="G280" s="89"/>
      <c r="H280" s="66" t="str">
        <f>VLOOKUP(A280,'Tot KPA'!A:H,8,0)</f>
        <v>Other expenditure</v>
      </c>
      <c r="I280" s="66">
        <f>VLOOKUP(A280,'Tot KPA'!A:I,9,0)</f>
        <v>0</v>
      </c>
    </row>
    <row r="281" spans="1:9" hidden="1" x14ac:dyDescent="0.35">
      <c r="A281" s="66" t="s">
        <v>2892</v>
      </c>
      <c r="B281" s="89">
        <v>0</v>
      </c>
      <c r="C281" s="89"/>
      <c r="D281" s="89"/>
      <c r="E281" s="89"/>
      <c r="F281" s="89"/>
      <c r="G281" s="89"/>
      <c r="H281" s="66" t="str">
        <f>VLOOKUP(A281,'Tot KPA'!A:H,8,0)</f>
        <v>Other expenditure</v>
      </c>
      <c r="I281" s="66">
        <f>VLOOKUP(A281,'Tot KPA'!A:I,9,0)</f>
        <v>0</v>
      </c>
    </row>
    <row r="282" spans="1:9" hidden="1" x14ac:dyDescent="0.35">
      <c r="A282" s="66" t="s">
        <v>2990</v>
      </c>
      <c r="B282" s="89">
        <v>0</v>
      </c>
      <c r="C282" s="89">
        <v>0</v>
      </c>
      <c r="D282" s="89">
        <v>0</v>
      </c>
      <c r="E282" s="89">
        <v>0</v>
      </c>
      <c r="F282" s="89">
        <v>0</v>
      </c>
      <c r="G282" s="89">
        <v>0</v>
      </c>
      <c r="H282" s="66" t="str">
        <f>VLOOKUP(A282,'Tot KPA'!A:H,8,0)</f>
        <v>Contracted services</v>
      </c>
      <c r="I282" s="66">
        <f>VLOOKUP(A282,'Tot KPA'!A:I,9,0)</f>
        <v>0</v>
      </c>
    </row>
    <row r="283" spans="1:9" hidden="1" x14ac:dyDescent="0.35">
      <c r="A283" s="66" t="s">
        <v>2991</v>
      </c>
      <c r="B283" s="89">
        <v>0</v>
      </c>
      <c r="C283" s="89">
        <v>0</v>
      </c>
      <c r="D283" s="89">
        <v>0</v>
      </c>
      <c r="E283" s="89">
        <v>0</v>
      </c>
      <c r="F283" s="89">
        <v>0</v>
      </c>
      <c r="G283" s="89">
        <v>0</v>
      </c>
      <c r="H283" s="66" t="str">
        <f>VLOOKUP(A283,'Tot KPA'!A:H,8,0)</f>
        <v>Other expenditure</v>
      </c>
      <c r="I283" s="66">
        <f>VLOOKUP(A283,'Tot KPA'!A:I,9,0)</f>
        <v>0</v>
      </c>
    </row>
    <row r="284" spans="1:9" hidden="1" x14ac:dyDescent="0.35">
      <c r="A284" s="66" t="s">
        <v>3054</v>
      </c>
      <c r="B284" s="89">
        <v>0</v>
      </c>
      <c r="C284" s="89">
        <v>0</v>
      </c>
      <c r="D284" s="89">
        <v>0</v>
      </c>
      <c r="E284" s="89">
        <v>0</v>
      </c>
      <c r="F284" s="89">
        <v>0</v>
      </c>
      <c r="G284" s="89">
        <v>0</v>
      </c>
      <c r="H284" s="66" t="str">
        <f>VLOOKUP(A284,'Tot KPA'!A:H,8,0)</f>
        <v>Other expenditure</v>
      </c>
      <c r="I284" s="66">
        <f>VLOOKUP(A284,'Tot KPA'!A:I,9,0)</f>
        <v>0</v>
      </c>
    </row>
    <row r="285" spans="1:9" hidden="1" x14ac:dyDescent="0.35">
      <c r="A285" s="66" t="s">
        <v>2659</v>
      </c>
      <c r="B285" s="89">
        <v>0</v>
      </c>
      <c r="C285" s="89">
        <v>0</v>
      </c>
      <c r="D285" s="89">
        <v>0</v>
      </c>
      <c r="E285" s="89">
        <v>0</v>
      </c>
      <c r="F285" s="89">
        <v>0</v>
      </c>
      <c r="G285" s="89">
        <v>0</v>
      </c>
      <c r="H285" s="66" t="str">
        <f>VLOOKUP(A285,'Tot KPA'!A:H,8,0)</f>
        <v>Contracted services</v>
      </c>
      <c r="I285" s="66">
        <f>VLOOKUP(A285,'Tot KPA'!A:I,9,0)</f>
        <v>0</v>
      </c>
    </row>
    <row r="286" spans="1:9" hidden="1" x14ac:dyDescent="0.35">
      <c r="A286" s="66" t="s">
        <v>2865</v>
      </c>
      <c r="B286" s="89">
        <v>0</v>
      </c>
      <c r="C286" s="89">
        <v>0</v>
      </c>
      <c r="D286" s="89">
        <v>0</v>
      </c>
      <c r="E286" s="89">
        <v>0</v>
      </c>
      <c r="F286" s="89">
        <v>0</v>
      </c>
      <c r="G286" s="89">
        <v>0</v>
      </c>
      <c r="H286" s="66" t="str">
        <f>VLOOKUP(A286,'Tot KPA'!A:H,8,0)</f>
        <v>Contracted services</v>
      </c>
      <c r="I286" s="66">
        <f>VLOOKUP(A286,'Tot KPA'!A:I,9,0)</f>
        <v>0</v>
      </c>
    </row>
    <row r="287" spans="1:9" hidden="1" x14ac:dyDescent="0.35">
      <c r="A287" s="66" t="s">
        <v>3129</v>
      </c>
      <c r="B287" s="89">
        <v>0</v>
      </c>
      <c r="C287" s="89">
        <v>0</v>
      </c>
      <c r="D287" s="89">
        <v>0</v>
      </c>
      <c r="E287" s="89">
        <v>0</v>
      </c>
      <c r="F287" s="89">
        <v>0</v>
      </c>
      <c r="G287" s="89">
        <v>0</v>
      </c>
      <c r="H287" s="66" t="str">
        <f>VLOOKUP(A287,'Tot KPA'!A:H,8,0)</f>
        <v>Capital Expenditure</v>
      </c>
      <c r="I287" s="66">
        <f>VLOOKUP(A287,'Tot KPA'!A:I,9,0)</f>
        <v>0</v>
      </c>
    </row>
    <row r="288" spans="1:9" hidden="1" x14ac:dyDescent="0.35">
      <c r="A288" s="66" t="s">
        <v>2962</v>
      </c>
      <c r="B288" s="89">
        <v>0</v>
      </c>
      <c r="C288" s="89">
        <v>0</v>
      </c>
      <c r="D288" s="89">
        <v>0</v>
      </c>
      <c r="E288" s="89">
        <v>0</v>
      </c>
      <c r="F288" s="89">
        <v>0</v>
      </c>
      <c r="G288" s="89">
        <v>0</v>
      </c>
      <c r="H288" s="66" t="str">
        <f>VLOOKUP(A288,'Tot KPA'!A:H,8,0)</f>
        <v>Other expenditure</v>
      </c>
      <c r="I288" s="66">
        <f>VLOOKUP(A288,'Tot KPA'!A:I,9,0)</f>
        <v>0</v>
      </c>
    </row>
    <row r="290" spans="1:7" ht="15" thickBot="1" x14ac:dyDescent="0.4">
      <c r="A290" s="117" t="s">
        <v>2546</v>
      </c>
      <c r="B290" s="112">
        <f t="shared" ref="B290:G290" si="1">SUM(B125:B288)</f>
        <v>958000</v>
      </c>
      <c r="C290" s="112">
        <f t="shared" si="1"/>
        <v>958000</v>
      </c>
      <c r="D290" s="112">
        <f t="shared" si="1"/>
        <v>945712.44</v>
      </c>
      <c r="E290" s="112">
        <f t="shared" si="1"/>
        <v>956700</v>
      </c>
      <c r="F290" s="112">
        <f t="shared" si="1"/>
        <v>994100</v>
      </c>
      <c r="G290" s="112">
        <f t="shared" si="1"/>
        <v>1033000</v>
      </c>
    </row>
    <row r="291" spans="1:7" ht="15" thickTop="1" x14ac:dyDescent="0.35"/>
    <row r="292" spans="1:7" ht="15" thickBot="1" x14ac:dyDescent="0.4">
      <c r="A292" s="117" t="s">
        <v>2674</v>
      </c>
      <c r="B292" s="112">
        <f t="shared" ref="B292:G292" si="2">+B121+B290</f>
        <v>958000</v>
      </c>
      <c r="C292" s="112">
        <f t="shared" si="2"/>
        <v>958000</v>
      </c>
      <c r="D292" s="112">
        <f t="shared" si="2"/>
        <v>945712.44</v>
      </c>
      <c r="E292" s="112">
        <f t="shared" si="2"/>
        <v>956700</v>
      </c>
      <c r="F292" s="112">
        <f t="shared" si="2"/>
        <v>994100</v>
      </c>
      <c r="G292" s="112">
        <f t="shared" si="2"/>
        <v>1033000</v>
      </c>
    </row>
    <row r="293" spans="1:7" ht="15" thickTop="1" x14ac:dyDescent="0.35"/>
    <row r="295" spans="1:7" x14ac:dyDescent="0.35">
      <c r="E295" s="111"/>
      <c r="F295" s="111"/>
      <c r="G295" s="111"/>
    </row>
    <row r="297" spans="1:7" x14ac:dyDescent="0.35">
      <c r="A297" s="30"/>
      <c r="B297" s="30"/>
      <c r="C297" s="114"/>
      <c r="D297" s="114"/>
      <c r="E297" s="30"/>
      <c r="F297" s="30"/>
      <c r="G297" s="30"/>
    </row>
    <row r="298" spans="1:7" x14ac:dyDescent="0.35">
      <c r="A298" s="30"/>
      <c r="B298" s="30"/>
      <c r="C298" s="114"/>
      <c r="D298" s="114"/>
      <c r="E298" s="30"/>
      <c r="F298" s="30"/>
      <c r="G298" s="30"/>
    </row>
    <row r="299" spans="1:7" x14ac:dyDescent="0.35">
      <c r="A299" s="30"/>
      <c r="B299" s="30"/>
      <c r="C299" s="114"/>
      <c r="D299" s="114"/>
      <c r="E299" s="140"/>
      <c r="F299" s="140"/>
      <c r="G299" s="140"/>
    </row>
    <row r="300" spans="1:7" x14ac:dyDescent="0.35">
      <c r="A300" s="30"/>
      <c r="B300" s="30"/>
      <c r="C300" s="114"/>
      <c r="D300" s="114"/>
      <c r="E300" s="30"/>
      <c r="F300" s="114"/>
      <c r="G300" s="30"/>
    </row>
    <row r="301" spans="1:7" x14ac:dyDescent="0.35">
      <c r="A301" s="30"/>
      <c r="B301" s="30"/>
      <c r="C301" s="114"/>
      <c r="D301" s="114"/>
      <c r="E301" s="30"/>
      <c r="F301" s="30"/>
      <c r="G301" s="30"/>
    </row>
    <row r="302" spans="1:7" x14ac:dyDescent="0.35">
      <c r="A302" s="30"/>
      <c r="B302" s="126"/>
      <c r="C302" s="107"/>
      <c r="D302" s="126"/>
      <c r="E302" s="30"/>
      <c r="F302" s="30"/>
      <c r="G302" s="30"/>
    </row>
    <row r="303" spans="1:7" x14ac:dyDescent="0.35">
      <c r="A303" s="30"/>
      <c r="B303" s="30"/>
      <c r="C303" s="114"/>
      <c r="D303" s="114"/>
      <c r="E303" s="30"/>
      <c r="F303" s="30"/>
      <c r="G303" s="30"/>
    </row>
  </sheetData>
  <sortState xmlns:xlrd2="http://schemas.microsoft.com/office/spreadsheetml/2017/richdata2" ref="A125:I288">
    <sortCondition ref="A125:A288"/>
  </sortState>
  <pageMargins left="0.7" right="0.7" top="0.75" bottom="0.75" header="0.3" footer="0.3"/>
  <pageSetup scale="1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workbookViewId="0">
      <selection activeCell="B14" sqref="B14"/>
    </sheetView>
  </sheetViews>
  <sheetFormatPr defaultRowHeight="14.5" x14ac:dyDescent="0.35"/>
  <cols>
    <col min="1" max="1" width="21.81640625" bestFit="1" customWidth="1"/>
    <col min="2" max="3" width="14.1796875" style="2" bestFit="1" customWidth="1"/>
    <col min="4" max="4" width="16" style="2" bestFit="1" customWidth="1"/>
    <col min="5" max="5" width="14.81640625" customWidth="1"/>
    <col min="6" max="6" width="15" customWidth="1"/>
    <col min="7" max="7" width="13.54296875" bestFit="1" customWidth="1"/>
    <col min="8" max="8" width="15.1796875" customWidth="1"/>
    <col min="9" max="9" width="14.453125" customWidth="1"/>
    <col min="10" max="10" width="13.7265625" customWidth="1"/>
  </cols>
  <sheetData>
    <row r="1" spans="1:10" ht="26.25" customHeight="1" x14ac:dyDescent="0.35">
      <c r="A1" s="246" t="s">
        <v>2567</v>
      </c>
      <c r="B1" s="247" t="s">
        <v>2568</v>
      </c>
      <c r="C1" s="247" t="s">
        <v>2569</v>
      </c>
      <c r="D1" s="247" t="s">
        <v>2570</v>
      </c>
      <c r="E1" s="248" t="s">
        <v>2571</v>
      </c>
      <c r="F1" s="248" t="s">
        <v>2572</v>
      </c>
      <c r="G1" s="248" t="s">
        <v>2573</v>
      </c>
      <c r="H1" s="248" t="s">
        <v>2574</v>
      </c>
      <c r="I1" s="248" t="s">
        <v>2575</v>
      </c>
      <c r="J1" s="248" t="s">
        <v>2576</v>
      </c>
    </row>
    <row r="2" spans="1:10" x14ac:dyDescent="0.35">
      <c r="A2" s="246"/>
      <c r="B2" s="247"/>
      <c r="C2" s="247"/>
      <c r="D2" s="247"/>
      <c r="E2" s="248"/>
      <c r="F2" s="248"/>
      <c r="G2" s="248"/>
      <c r="H2" s="248"/>
      <c r="I2" s="248"/>
      <c r="J2" s="248"/>
    </row>
    <row r="3" spans="1:10" ht="8.25" customHeight="1" x14ac:dyDescent="0.35">
      <c r="A3" s="47"/>
      <c r="B3" s="48"/>
      <c r="C3" s="48"/>
      <c r="D3" s="48"/>
      <c r="E3" s="47"/>
      <c r="F3" s="47"/>
      <c r="G3" s="47"/>
      <c r="H3" s="47"/>
    </row>
    <row r="4" spans="1:10" x14ac:dyDescent="0.35">
      <c r="A4" s="51" t="str">
        <f>+'Performance old'!B3</f>
        <v>COUNCIL GENERAL</v>
      </c>
      <c r="B4" s="49">
        <f>+'Performance old'!E20</f>
        <v>-5499540</v>
      </c>
      <c r="C4" s="49">
        <f>+'Performance old'!F20</f>
        <v>-10742600.739999998</v>
      </c>
      <c r="D4" s="49">
        <f>+'Performance old'!G20</f>
        <v>-18415886.982857145</v>
      </c>
      <c r="E4" s="49">
        <f>+'Performance old'!E68</f>
        <v>2432155</v>
      </c>
      <c r="F4" s="49">
        <f>+'Performance old'!F68</f>
        <v>6507844.4200000009</v>
      </c>
      <c r="G4" s="49">
        <f>+'Performance old'!G68</f>
        <v>11156304.720000001</v>
      </c>
      <c r="H4" s="49">
        <f>+B4+E4</f>
        <v>-3067385</v>
      </c>
      <c r="I4" s="49">
        <f>+C4+F4</f>
        <v>-4234756.3199999975</v>
      </c>
      <c r="J4" s="49">
        <f>+D4+G4</f>
        <v>-7259582.2628571447</v>
      </c>
    </row>
    <row r="5" spans="1:10" x14ac:dyDescent="0.35">
      <c r="A5" s="51" t="str">
        <f>+'Performance old'!B73</f>
        <v>FINANCE</v>
      </c>
      <c r="B5" s="49">
        <f>+'Performance old'!E109</f>
        <v>-14018656</v>
      </c>
      <c r="C5" s="49">
        <f>+'Performance old'!F109</f>
        <v>-15444042.98</v>
      </c>
      <c r="D5" s="49">
        <f>+'Performance old'!G109</f>
        <v>-26475502.251428571</v>
      </c>
      <c r="E5" s="49">
        <f>+'Performance old'!E164</f>
        <v>14609503</v>
      </c>
      <c r="F5" s="49">
        <f>+'Performance old'!F164</f>
        <v>12169672.52</v>
      </c>
      <c r="G5" s="49">
        <f>+'Performance old'!G164</f>
        <v>20862295.748571426</v>
      </c>
      <c r="H5" s="49">
        <f t="shared" ref="H5:J22" si="0">+B5+E5</f>
        <v>590847</v>
      </c>
      <c r="I5" s="49">
        <f t="shared" si="0"/>
        <v>-3274370.4600000009</v>
      </c>
      <c r="J5" s="49">
        <f t="shared" si="0"/>
        <v>-5613206.5028571449</v>
      </c>
    </row>
    <row r="6" spans="1:10" x14ac:dyDescent="0.35">
      <c r="A6" s="51" t="str">
        <f>+'Performance old'!B169</f>
        <v>RATES</v>
      </c>
      <c r="B6" s="49">
        <f>+'Performance old'!E181</f>
        <v>-5140880</v>
      </c>
      <c r="C6" s="49">
        <f>+'Performance old'!F181</f>
        <v>-4867843.76</v>
      </c>
      <c r="D6" s="49">
        <f>+'Performance old'!G181</f>
        <v>-8344875.0171428584</v>
      </c>
      <c r="E6" s="49">
        <f>+'Performance old'!E194</f>
        <v>1078000</v>
      </c>
      <c r="F6" s="49">
        <f>+'Performance old'!F194</f>
        <v>0</v>
      </c>
      <c r="G6" s="49">
        <f>+'Performance old'!G194</f>
        <v>0</v>
      </c>
      <c r="H6" s="49">
        <f t="shared" si="0"/>
        <v>-4062880</v>
      </c>
      <c r="I6" s="49">
        <f t="shared" si="0"/>
        <v>-4867843.76</v>
      </c>
      <c r="J6" s="49">
        <f t="shared" si="0"/>
        <v>-8344875.0171428584</v>
      </c>
    </row>
    <row r="7" spans="1:10" x14ac:dyDescent="0.35">
      <c r="A7" s="51" t="str">
        <f>+'Performance old'!B199</f>
        <v>CORPORATE SERVICES</v>
      </c>
      <c r="B7" s="49">
        <f>+'Performance old'!E206</f>
        <v>-1000</v>
      </c>
      <c r="C7" s="49">
        <f>+'Performance old'!F206</f>
        <v>0</v>
      </c>
      <c r="D7" s="49">
        <f>+'Performance old'!G206</f>
        <v>0</v>
      </c>
      <c r="E7" s="49">
        <f>+'Performance old'!E247</f>
        <v>4761425</v>
      </c>
      <c r="F7" s="49">
        <f>+'Performance old'!F247</f>
        <v>2667171.77</v>
      </c>
      <c r="G7" s="49">
        <f>+'Performance old'!G247</f>
        <v>4572294.4628571421</v>
      </c>
      <c r="H7" s="49">
        <f t="shared" si="0"/>
        <v>4760425</v>
      </c>
      <c r="I7" s="49">
        <f t="shared" si="0"/>
        <v>2667171.77</v>
      </c>
      <c r="J7" s="49">
        <f t="shared" si="0"/>
        <v>4572294.4628571421</v>
      </c>
    </row>
    <row r="8" spans="1:10" x14ac:dyDescent="0.35">
      <c r="A8" s="51" t="str">
        <f>+'Performance old'!B252</f>
        <v>PROJEKEENHEID</v>
      </c>
      <c r="B8" s="49">
        <f>+'Performance old'!E256</f>
        <v>0</v>
      </c>
      <c r="C8" s="49">
        <f>+'Performance old'!F256</f>
        <v>-285</v>
      </c>
      <c r="D8" s="49">
        <f>+'Performance old'!G256</f>
        <v>-488.57142857142856</v>
      </c>
      <c r="E8" s="49">
        <f>+'Performance old'!E267</f>
        <v>0</v>
      </c>
      <c r="F8" s="49">
        <f>+'Performance old'!F267</f>
        <v>0</v>
      </c>
      <c r="G8" s="49">
        <f>+'Performance old'!G267</f>
        <v>0</v>
      </c>
      <c r="H8" s="49">
        <f t="shared" si="0"/>
        <v>0</v>
      </c>
      <c r="I8" s="49">
        <f t="shared" si="0"/>
        <v>-285</v>
      </c>
      <c r="J8" s="49">
        <f t="shared" si="0"/>
        <v>-488.57142857142856</v>
      </c>
    </row>
    <row r="9" spans="1:10" x14ac:dyDescent="0.35">
      <c r="A9" s="51" t="str">
        <f>+'Performance old'!B272</f>
        <v>LIBRARIES</v>
      </c>
      <c r="B9" s="49">
        <f>+'Performance old'!E280</f>
        <v>-721006</v>
      </c>
      <c r="C9" s="49">
        <f>+'Performance old'!F280</f>
        <v>-3358.7</v>
      </c>
      <c r="D9" s="49">
        <f>+'Performance old'!G280</f>
        <v>-5757.7714285714283</v>
      </c>
      <c r="E9" s="49">
        <f>+'Performance old'!E307</f>
        <v>721005</v>
      </c>
      <c r="F9" s="49">
        <f>+'Performance old'!F307</f>
        <v>52155.54</v>
      </c>
      <c r="G9" s="49">
        <f>+'Performance old'!G307</f>
        <v>89409.497142857144</v>
      </c>
      <c r="H9" s="49">
        <f t="shared" si="0"/>
        <v>-1</v>
      </c>
      <c r="I9" s="49">
        <f t="shared" si="0"/>
        <v>48796.840000000004</v>
      </c>
      <c r="J9" s="49">
        <f t="shared" si="0"/>
        <v>83651.725714285712</v>
      </c>
    </row>
    <row r="10" spans="1:10" x14ac:dyDescent="0.35">
      <c r="A10" s="51" t="str">
        <f>+'Performance old'!B312</f>
        <v>COMMONAGE</v>
      </c>
      <c r="B10" s="49">
        <f>+'Performance old'!E317</f>
        <v>-275000</v>
      </c>
      <c r="C10" s="49">
        <f>+'Performance old'!F317</f>
        <v>-216169.75</v>
      </c>
      <c r="D10" s="49">
        <f>+'Performance old'!G317</f>
        <v>-370576.71428571432</v>
      </c>
      <c r="E10" s="49">
        <f>+'Performance old'!E335</f>
        <v>52000</v>
      </c>
      <c r="F10" s="49">
        <f>+'Performance old'!F335</f>
        <v>66204.91</v>
      </c>
      <c r="G10" s="49">
        <f>+'Performance old'!G335</f>
        <v>113494.13142857143</v>
      </c>
      <c r="H10" s="49">
        <f t="shared" si="0"/>
        <v>-223000</v>
      </c>
      <c r="I10" s="49">
        <f t="shared" si="0"/>
        <v>-149964.84</v>
      </c>
      <c r="J10" s="49">
        <f t="shared" si="0"/>
        <v>-257082.5828571429</v>
      </c>
    </row>
    <row r="11" spans="1:10" x14ac:dyDescent="0.35">
      <c r="A11" s="51" t="str">
        <f>+'Performance old'!B340</f>
        <v>TOWN HALL &amp; BUILDINGS</v>
      </c>
      <c r="B11" s="49">
        <f>+'Performance old'!E346</f>
        <v>-162500</v>
      </c>
      <c r="C11" s="49">
        <f>+'Performance old'!F346</f>
        <v>-108054.93</v>
      </c>
      <c r="D11" s="49">
        <f>+'Performance old'!G346</f>
        <v>-185237.02285714287</v>
      </c>
      <c r="E11" s="49">
        <f>+'Performance old'!E364</f>
        <v>527000</v>
      </c>
      <c r="F11" s="49">
        <f>+'Performance old'!F364</f>
        <v>164191.07</v>
      </c>
      <c r="G11" s="49">
        <f>+'Performance old'!G364</f>
        <v>281470.40571428573</v>
      </c>
      <c r="H11" s="49">
        <f t="shared" si="0"/>
        <v>364500</v>
      </c>
      <c r="I11" s="49">
        <f t="shared" si="0"/>
        <v>56136.140000000014</v>
      </c>
      <c r="J11" s="49">
        <f t="shared" si="0"/>
        <v>96233.38285714286</v>
      </c>
    </row>
    <row r="12" spans="1:10" x14ac:dyDescent="0.35">
      <c r="A12" s="51" t="str">
        <f>+'Performance old'!B369</f>
        <v>TELEVISION</v>
      </c>
      <c r="B12" s="49">
        <f>+'Performance old'!E372</f>
        <v>0</v>
      </c>
      <c r="C12" s="49">
        <f>+'Performance old'!F372</f>
        <v>0</v>
      </c>
      <c r="D12" s="49">
        <f>+'Performance old'!G372</f>
        <v>0</v>
      </c>
      <c r="E12" s="49">
        <f>+'Performance old'!E385</f>
        <v>1500</v>
      </c>
      <c r="F12" s="49">
        <f>+'Performance old'!F385</f>
        <v>0</v>
      </c>
      <c r="G12" s="49">
        <f>+'Performance old'!G385</f>
        <v>0</v>
      </c>
      <c r="H12" s="49">
        <f t="shared" si="0"/>
        <v>1500</v>
      </c>
      <c r="I12" s="49">
        <f t="shared" si="0"/>
        <v>0</v>
      </c>
      <c r="J12" s="49">
        <f t="shared" si="0"/>
        <v>0</v>
      </c>
    </row>
    <row r="13" spans="1:10" x14ac:dyDescent="0.35">
      <c r="A13" s="51" t="str">
        <f>+'Performance old'!B390</f>
        <v>CEMETERIES</v>
      </c>
      <c r="B13" s="49">
        <f>+'Performance old'!E395</f>
        <v>-5500</v>
      </c>
      <c r="C13" s="49">
        <f>+'Performance old'!F395</f>
        <v>-4302</v>
      </c>
      <c r="D13" s="49">
        <f>+'Performance old'!G395</f>
        <v>-7374.8571428571431</v>
      </c>
      <c r="E13" s="49">
        <f>+'Performance old'!E418</f>
        <v>7500</v>
      </c>
      <c r="F13" s="49">
        <f>+'Performance old'!F418</f>
        <v>80578.05</v>
      </c>
      <c r="G13" s="49">
        <f>+'Performance old'!G418</f>
        <v>138133.80000000002</v>
      </c>
      <c r="H13" s="49">
        <f t="shared" si="0"/>
        <v>2000</v>
      </c>
      <c r="I13" s="49">
        <f t="shared" si="0"/>
        <v>76276.05</v>
      </c>
      <c r="J13" s="49">
        <f t="shared" si="0"/>
        <v>130758.94285714287</v>
      </c>
    </row>
    <row r="14" spans="1:10" x14ac:dyDescent="0.35">
      <c r="A14" s="51" t="str">
        <f>+'Performance old'!B423</f>
        <v>PARKS &amp; RECREATION</v>
      </c>
      <c r="B14" s="49">
        <f>+'Performance old'!E430</f>
        <v>-24000</v>
      </c>
      <c r="C14" s="49">
        <f>+'Performance old'!F430</f>
        <v>-21553.200000000001</v>
      </c>
      <c r="D14" s="49">
        <f>+'Performance old'!G430</f>
        <v>-36948.342857142852</v>
      </c>
      <c r="E14" s="49">
        <f>+'Performance old'!E461</f>
        <v>860340</v>
      </c>
      <c r="F14" s="49">
        <f>+'Performance old'!F461</f>
        <v>775989.00999999989</v>
      </c>
      <c r="G14" s="49">
        <f>+'Performance old'!G461</f>
        <v>1330266.8742857145</v>
      </c>
      <c r="H14" s="49">
        <f t="shared" si="0"/>
        <v>836340</v>
      </c>
      <c r="I14" s="49">
        <f t="shared" si="0"/>
        <v>754435.80999999994</v>
      </c>
      <c r="J14" s="49">
        <f t="shared" si="0"/>
        <v>1293318.5314285716</v>
      </c>
    </row>
    <row r="15" spans="1:10" x14ac:dyDescent="0.35">
      <c r="A15" s="51" t="str">
        <f>+'Performance old'!B466</f>
        <v>HEALTH</v>
      </c>
      <c r="B15" s="49">
        <f>+'Performance old'!E471</f>
        <v>0</v>
      </c>
      <c r="C15" s="49">
        <f>+'Performance old'!F471</f>
        <v>0</v>
      </c>
      <c r="D15" s="49">
        <f>+'Performance old'!G471</f>
        <v>0</v>
      </c>
      <c r="E15" s="49">
        <f>+'Performance old'!E488</f>
        <v>30000</v>
      </c>
      <c r="F15" s="49">
        <f>+'Performance old'!F488</f>
        <v>75056</v>
      </c>
      <c r="G15" s="49">
        <f>+'Performance old'!G488</f>
        <v>128667.42857142858</v>
      </c>
      <c r="H15" s="49">
        <f t="shared" si="0"/>
        <v>30000</v>
      </c>
      <c r="I15" s="49">
        <f t="shared" si="0"/>
        <v>75056</v>
      </c>
      <c r="J15" s="49">
        <f t="shared" si="0"/>
        <v>128667.42857142858</v>
      </c>
    </row>
    <row r="16" spans="1:10" x14ac:dyDescent="0.35">
      <c r="A16" s="51" t="str">
        <f>+'Performance old'!B493</f>
        <v>ECONOMIC DEVELOPMENT</v>
      </c>
      <c r="B16" s="49">
        <f>+'Performance old'!E502</f>
        <v>0</v>
      </c>
      <c r="C16" s="49">
        <f>+'Performance old'!F502</f>
        <v>-249.1</v>
      </c>
      <c r="D16" s="49">
        <f>+'Performance old'!G502</f>
        <v>-427.02857142857135</v>
      </c>
      <c r="E16" s="49">
        <f>+'Performance old'!E540</f>
        <v>75000</v>
      </c>
      <c r="F16" s="49">
        <f>+'Performance old'!F540</f>
        <v>17033.7</v>
      </c>
      <c r="G16" s="49">
        <f>+'Performance old'!G540</f>
        <v>29200.628571428573</v>
      </c>
      <c r="H16" s="49">
        <f t="shared" si="0"/>
        <v>75000</v>
      </c>
      <c r="I16" s="49">
        <f t="shared" si="0"/>
        <v>16784.600000000002</v>
      </c>
      <c r="J16" s="49">
        <f t="shared" si="0"/>
        <v>28773.600000000002</v>
      </c>
    </row>
    <row r="17" spans="1:10" x14ac:dyDescent="0.35">
      <c r="A17" s="51" t="str">
        <f>+'Performance old'!B545</f>
        <v>STREETS &amp; PUBLIC WORKS</v>
      </c>
      <c r="B17" s="49">
        <f>+'Performance old'!E549</f>
        <v>0</v>
      </c>
      <c r="C17" s="49">
        <f>+'Performance old'!F549</f>
        <v>0</v>
      </c>
      <c r="D17" s="49">
        <f>+'Performance old'!G549</f>
        <v>0</v>
      </c>
      <c r="E17" s="49">
        <f>+'Performance old'!E577</f>
        <v>11544714</v>
      </c>
      <c r="F17" s="49">
        <f>+'Performance old'!F577</f>
        <v>1307247.0899999996</v>
      </c>
      <c r="G17" s="49">
        <f>+'Performance old'!G577</f>
        <v>2240995.0114285713</v>
      </c>
      <c r="H17" s="49">
        <f t="shared" si="0"/>
        <v>11544714</v>
      </c>
      <c r="I17" s="49">
        <f t="shared" si="0"/>
        <v>1307247.0899999996</v>
      </c>
      <c r="J17" s="49">
        <f t="shared" si="0"/>
        <v>2240995.0114285713</v>
      </c>
    </row>
    <row r="18" spans="1:10" x14ac:dyDescent="0.35">
      <c r="A18" s="51" t="str">
        <f>+'Performance old'!B582</f>
        <v>CIVIL ELECTRO TECHNICAL</v>
      </c>
      <c r="B18" s="49">
        <f>+'Performance old'!E585</f>
        <v>0</v>
      </c>
      <c r="C18" s="49">
        <f>+'Performance old'!F585</f>
        <v>0</v>
      </c>
      <c r="D18" s="49">
        <f>+'Performance old'!G585</f>
        <v>0</v>
      </c>
      <c r="E18" s="49">
        <f>+'Performance old'!E596</f>
        <v>75000</v>
      </c>
      <c r="F18" s="49">
        <f>+'Performance old'!F596</f>
        <v>59335.68</v>
      </c>
      <c r="G18" s="49">
        <f>+'Performance old'!G596</f>
        <v>101718.30857142856</v>
      </c>
      <c r="H18" s="49">
        <f t="shared" si="0"/>
        <v>75000</v>
      </c>
      <c r="I18" s="49">
        <f t="shared" si="0"/>
        <v>59335.68</v>
      </c>
      <c r="J18" s="49">
        <f t="shared" si="0"/>
        <v>101718.30857142856</v>
      </c>
    </row>
    <row r="19" spans="1:10" x14ac:dyDescent="0.35">
      <c r="A19" s="51" t="str">
        <f>+'Performance old'!B601</f>
        <v>STREETLIGHTS</v>
      </c>
      <c r="B19" s="49">
        <f>+'Performance old'!E603</f>
        <v>0</v>
      </c>
      <c r="C19" s="49">
        <f>+'Performance old'!F603</f>
        <v>0</v>
      </c>
      <c r="D19" s="49">
        <f>+'Performance old'!G603</f>
        <v>0</v>
      </c>
      <c r="E19" s="49">
        <f>+'Performance old'!E617</f>
        <v>20000</v>
      </c>
      <c r="F19" s="49">
        <f>+'Performance old'!F617</f>
        <v>4927.95</v>
      </c>
      <c r="G19" s="49">
        <f>+'Performance old'!G617</f>
        <v>8447.9142857142851</v>
      </c>
      <c r="H19" s="49">
        <f t="shared" si="0"/>
        <v>20000</v>
      </c>
      <c r="I19" s="49">
        <f t="shared" si="0"/>
        <v>4927.95</v>
      </c>
      <c r="J19" s="49">
        <f t="shared" si="0"/>
        <v>8447.9142857142851</v>
      </c>
    </row>
    <row r="20" spans="1:10" x14ac:dyDescent="0.35">
      <c r="A20" s="51" t="str">
        <f>+'Performance old'!B622</f>
        <v>ELECTRICITY</v>
      </c>
      <c r="B20" s="49">
        <f>+'Performance old'!E633</f>
        <v>-10679496</v>
      </c>
      <c r="C20" s="49">
        <f>+'Performance old'!F633</f>
        <v>-5021136.76</v>
      </c>
      <c r="D20" s="49">
        <f>+'Performance old'!G633</f>
        <v>-8607663.0171428565</v>
      </c>
      <c r="E20" s="49">
        <f>+'Performance old'!E672</f>
        <v>11842409</v>
      </c>
      <c r="F20" s="49">
        <f>+'Performance old'!F672</f>
        <v>4390762.38</v>
      </c>
      <c r="G20" s="49">
        <f>+'Performance old'!G672</f>
        <v>7527021.2228571437</v>
      </c>
      <c r="H20" s="49">
        <f t="shared" si="0"/>
        <v>1162913</v>
      </c>
      <c r="I20" s="49">
        <f t="shared" si="0"/>
        <v>-630374.37999999989</v>
      </c>
      <c r="J20" s="49">
        <f t="shared" si="0"/>
        <v>-1080641.7942857128</v>
      </c>
    </row>
    <row r="21" spans="1:10" x14ac:dyDescent="0.35">
      <c r="A21" s="51" t="str">
        <f>+'Performance old'!B677</f>
        <v>WATER</v>
      </c>
      <c r="B21" s="49">
        <f>+'Performance old'!E686</f>
        <v>-5500000</v>
      </c>
      <c r="C21" s="49">
        <f>+'Performance old'!F686</f>
        <v>-1367374.76</v>
      </c>
      <c r="D21" s="49">
        <f>+'Performance old'!G686</f>
        <v>-2344071.017142857</v>
      </c>
      <c r="E21" s="49">
        <f>+'Performance old'!E720</f>
        <v>6584378</v>
      </c>
      <c r="F21" s="49">
        <f>+'Performance old'!F720</f>
        <v>789004.08</v>
      </c>
      <c r="G21" s="49">
        <f>+'Performance old'!G720</f>
        <v>1352578.422857143</v>
      </c>
      <c r="H21" s="49">
        <f t="shared" si="0"/>
        <v>1084378</v>
      </c>
      <c r="I21" s="49">
        <f t="shared" si="0"/>
        <v>-578370.68000000005</v>
      </c>
      <c r="J21" s="49">
        <f t="shared" si="0"/>
        <v>-991492.59428571397</v>
      </c>
    </row>
    <row r="22" spans="1:10" x14ac:dyDescent="0.35">
      <c r="A22" s="51" t="str">
        <f>+'Performance old'!B725</f>
        <v>SANITATION</v>
      </c>
      <c r="B22" s="49">
        <f>+'Performance old'!E736</f>
        <v>-7996767</v>
      </c>
      <c r="C22" s="49">
        <f>+'Performance old'!F736</f>
        <v>-2182284.9200000004</v>
      </c>
      <c r="D22" s="49">
        <f>+'Performance old'!G736</f>
        <v>-3741059.8628571425</v>
      </c>
      <c r="E22" s="49">
        <f>+'Performance old'!E772</f>
        <v>8418255</v>
      </c>
      <c r="F22" s="49">
        <f>+'Performance old'!F772</f>
        <v>2237882.0499999993</v>
      </c>
      <c r="G22" s="49">
        <f>+'Performance old'!G772</f>
        <v>3836369.228571428</v>
      </c>
      <c r="H22" s="49">
        <f t="shared" si="0"/>
        <v>421488</v>
      </c>
      <c r="I22" s="49">
        <f t="shared" si="0"/>
        <v>55597.129999998957</v>
      </c>
      <c r="J22" s="49">
        <f t="shared" si="0"/>
        <v>95309.365714285523</v>
      </c>
    </row>
    <row r="23" spans="1:10" x14ac:dyDescent="0.35">
      <c r="A23" s="47"/>
      <c r="B23" s="48"/>
      <c r="C23" s="48"/>
      <c r="D23" s="48"/>
      <c r="E23" s="47"/>
      <c r="F23" s="47"/>
      <c r="G23" s="47"/>
      <c r="H23" s="47"/>
    </row>
    <row r="24" spans="1:10" ht="15" thickBot="1" x14ac:dyDescent="0.4">
      <c r="A24" s="47"/>
      <c r="B24" s="50">
        <f>SUM(B4:B23)</f>
        <v>-50024345</v>
      </c>
      <c r="C24" s="50">
        <f t="shared" ref="C24:J24" si="1">SUM(C4:C23)</f>
        <v>-39979256.599999994</v>
      </c>
      <c r="D24" s="50">
        <f t="shared" si="1"/>
        <v>-68535868.45714286</v>
      </c>
      <c r="E24" s="50">
        <f t="shared" si="1"/>
        <v>63640184</v>
      </c>
      <c r="F24" s="50">
        <f t="shared" si="1"/>
        <v>31365056.219999999</v>
      </c>
      <c r="G24" s="50">
        <f t="shared" si="1"/>
        <v>53768667.805714272</v>
      </c>
      <c r="H24" s="50">
        <f t="shared" si="1"/>
        <v>13615839</v>
      </c>
      <c r="I24" s="50">
        <f t="shared" si="1"/>
        <v>-8614200.379999999</v>
      </c>
      <c r="J24" s="50">
        <f t="shared" si="1"/>
        <v>-14767200.651428578</v>
      </c>
    </row>
    <row r="25" spans="1:10" ht="15" thickTop="1" x14ac:dyDescent="0.35">
      <c r="E25" s="2"/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</sheetPr>
  <dimension ref="A1:K301"/>
  <sheetViews>
    <sheetView tabSelected="1" topLeftCell="A247" zoomScale="70" zoomScaleNormal="70" workbookViewId="0">
      <selection activeCell="E256" sqref="E256"/>
    </sheetView>
  </sheetViews>
  <sheetFormatPr defaultColWidth="9.1796875" defaultRowHeight="14.5" x14ac:dyDescent="0.35"/>
  <cols>
    <col min="1" max="1" width="61.36328125" style="113" customWidth="1"/>
    <col min="2" max="2" width="22" style="113" customWidth="1"/>
    <col min="3" max="3" width="20.54296875" style="113" customWidth="1"/>
    <col min="4" max="4" width="21.54296875" style="113" customWidth="1"/>
    <col min="5" max="5" width="26.54296875" style="113" customWidth="1"/>
    <col min="6" max="6" width="27.453125" style="113" customWidth="1"/>
    <col min="7" max="7" width="24.81640625" style="113" customWidth="1"/>
    <col min="8" max="8" width="36.54296875" style="113" customWidth="1"/>
    <col min="9" max="9" width="30.54296875" style="113" customWidth="1"/>
    <col min="10" max="16384" width="9.1796875" style="113"/>
  </cols>
  <sheetData>
    <row r="1" spans="1:9" ht="15" thickBot="1" x14ac:dyDescent="0.4">
      <c r="F1" s="118"/>
      <c r="G1" s="118"/>
    </row>
    <row r="2" spans="1:9" ht="48.75" customHeight="1" thickBot="1" x14ac:dyDescent="0.4">
      <c r="A2" s="219" t="s">
        <v>3428</v>
      </c>
      <c r="B2" s="109" t="s">
        <v>2817</v>
      </c>
      <c r="C2" s="121" t="s">
        <v>2764</v>
      </c>
      <c r="D2" s="109" t="s">
        <v>2765</v>
      </c>
      <c r="E2" s="109" t="s">
        <v>3402</v>
      </c>
      <c r="F2" s="109" t="s">
        <v>3437</v>
      </c>
      <c r="G2" s="109" t="s">
        <v>3499</v>
      </c>
      <c r="H2" s="109" t="s">
        <v>3462</v>
      </c>
      <c r="I2" s="109" t="s">
        <v>3463</v>
      </c>
    </row>
    <row r="3" spans="1:9" x14ac:dyDescent="0.35">
      <c r="A3" s="122"/>
      <c r="B3" s="110"/>
      <c r="C3" s="110"/>
      <c r="D3" s="110"/>
      <c r="E3" s="110"/>
      <c r="F3" s="110"/>
      <c r="G3" s="110"/>
    </row>
    <row r="4" spans="1:9" x14ac:dyDescent="0.35">
      <c r="A4" s="117" t="s">
        <v>2673</v>
      </c>
      <c r="B4" s="111"/>
      <c r="C4" s="111"/>
      <c r="D4" s="111"/>
      <c r="E4" s="111"/>
      <c r="F4" s="116"/>
      <c r="G4" s="116"/>
    </row>
    <row r="5" spans="1:9" x14ac:dyDescent="0.35">
      <c r="A5" s="117"/>
      <c r="B5" s="111"/>
      <c r="C5" s="111"/>
      <c r="D5" s="111"/>
      <c r="E5" s="111"/>
      <c r="G5" s="116"/>
      <c r="H5" s="116"/>
    </row>
    <row r="6" spans="1:9" x14ac:dyDescent="0.35">
      <c r="A6" s="217" t="s">
        <v>3426</v>
      </c>
      <c r="B6" s="89">
        <f>+Cs!B6+Fin!B6+Rat!B6+MM!B6+Lib!B6+Pry!B6+Hal!B6+Cem!B6+Par!B6+EDv!C5+Str!B6+Ele!B6+Wat!B6+San!B6+Ref!B6+Mayor!B6+CFO!B6+MB!B6+Infra!B6</f>
        <v>-156000</v>
      </c>
      <c r="C6" s="89">
        <f>+Cs!C6+Fin!C6+Rat!C6+MM!C6+Lib!C6+Pry!C6+Hal!C6+Cem!C6+Par!C6+EDv!D5+Str!C6+Ele!C6+Wat!C6+San!C6+Ref!C6+Mayor!C6+CFO!C6+MB!C6+Infra!C6</f>
        <v>-250000</v>
      </c>
      <c r="D6" s="89">
        <f>+Cs!D6+Fin!D6+Rat!D6+MM!D6+Lib!D6+Pry!D6+Hal!D6+Cem!D6+Par!D6+EDv!E5+Str!D6+Ele!D6+Wat!D6+San!D6+Ref!D6+Mayor!D6+CFO!D6+MB!D6+Infra!D6</f>
        <v>0</v>
      </c>
      <c r="E6" s="89">
        <f>+Cs!E6+Fin!E6+Rat!E6+MM!E6+Lib!E6+Pry!E6+Hal!E6+Cem!E6+Par!E6+EDv!F5+Str!E6+Ele!E6+Wat!E6+San!E6+Ref!E6+Mayor!E6+CFO!E6+MB!E6+Infra!E6</f>
        <v>0</v>
      </c>
      <c r="F6" s="89">
        <f>+Cs!F6+Fin!F6+Rat!F6+MM!F6+Lib!F6+Pry!F6+Hal!F6+Cem!F6+Par!F6+EDv!G5+Str!F6+Ele!F6+Wat!F6+San!F6+Ref!F6+Mayor!F6+CFO!F6+MB!F6+Infra!F6</f>
        <v>0</v>
      </c>
      <c r="G6" s="89">
        <f>+Cs!G6+Fin!G6+Rat!G6+MM!G6+Lib!G6+Pry!G6+Hal!G6+Cem!G6+Par!G6+EDv!H5+Str!G6+Ele!G6+Wat!G6+San!G6+Ref!G6+Mayor!G6+CFO!G6+MB!G6+Infra!G6</f>
        <v>0</v>
      </c>
      <c r="H6" s="66" t="s">
        <v>2707</v>
      </c>
      <c r="I6" s="66"/>
    </row>
    <row r="7" spans="1:9" x14ac:dyDescent="0.35">
      <c r="A7" s="66" t="s">
        <v>2833</v>
      </c>
      <c r="B7" s="89">
        <f>+Cs!B7+Fin!B7+Rat!B7+MM!B7+Lib!B7+Pry!B7+Hal!B7+Cem!B7+Par!B7+EDv!C6+Str!B7+Ele!B7+Wat!B7+San!B7+Ref!B7+Mayor!B7+CFO!B7+MB!B7+Infra!B7</f>
        <v>-4500</v>
      </c>
      <c r="C7" s="89">
        <f>+Cs!C7+Fin!C7+Rat!C7+MM!C7+Lib!C7+Pry!C7+Hal!C7+Cem!C7+Par!C7+EDv!D6+Str!C7+Ele!C7+Wat!C7+San!C7+Ref!C7+Mayor!C7+CFO!C7+MB!C7+Infra!C7</f>
        <v>-4500</v>
      </c>
      <c r="D7" s="89">
        <f>+Cs!D7+Fin!D7+Rat!D7+MM!D7+Lib!D7+Pry!D7+Hal!D7+Cem!D7+Par!D7+EDv!E6+Str!D7+Ele!D7+Wat!D7+San!D7+Ref!D7+Mayor!D7+CFO!D7+MB!D7+Infra!D7</f>
        <v>-12783.19</v>
      </c>
      <c r="E7" s="235">
        <f>+Cs!E7+Fin!E7+Rat!E7+MM!E7+Lib!E7+Pry!E7+Hal!E7+Cem!E7+Par!E7+EDv!F6+Str!E7+Ele!E7+Wat!E7+San!E7+Ref!E7+Mayor!E7+CFO!E7+MB!E7+Infra!E7</f>
        <v>-15000</v>
      </c>
      <c r="F7" s="235">
        <f>+Cs!F7+Fin!F7+Rat!F7+MM!F7+Lib!F7+Pry!F7+Hal!F7+Cem!F7+Par!F7+EDv!G6+Str!F7+Ele!F7+Wat!F7+San!F7+Ref!F7+Mayor!F7+CFO!F7+MB!F7+Infra!F7</f>
        <v>-15700</v>
      </c>
      <c r="G7" s="235">
        <f>+Cs!G7+Fin!G7+Rat!G7+MM!G7+Lib!G7+Pry!G7+Hal!G7+Cem!G7+Par!G7+EDv!H6+Str!G7+Ele!G7+Wat!G7+San!G7+Ref!G7+Mayor!G7+CFO!G7+MB!G7+Infra!G7</f>
        <v>-16500</v>
      </c>
      <c r="H7" s="66" t="s">
        <v>2707</v>
      </c>
      <c r="I7" s="66"/>
    </row>
    <row r="8" spans="1:9" x14ac:dyDescent="0.35">
      <c r="A8" s="66" t="s">
        <v>2979</v>
      </c>
      <c r="B8" s="89">
        <f>+Cs!B8+Fin!B8+Rat!B8+MM!B8+Lib!B8+Pry!B8+Hal!B8+Cem!B8+Par!B8+EDv!C7+Str!B8+Ele!B8+Wat!B8+San!B8+Ref!B8+Mayor!B8+CFO!B8+MB!B8+Infra!B8</f>
        <v>-1700</v>
      </c>
      <c r="C8" s="89">
        <f>+Cs!C8+Fin!C8+Rat!C8+MM!C8+Lib!C8+Pry!C8+Hal!C8+Cem!C8+Par!C8+EDv!D7+Str!C8+Ele!C8+Wat!C8+San!C8+Ref!C8+Mayor!C8+CFO!C8+MB!C8+Infra!C8</f>
        <v>-1700</v>
      </c>
      <c r="D8" s="89">
        <f>+Cs!D8+Fin!D8+Rat!D8+MM!D8+Lib!D8+Pry!D8+Hal!D8+Cem!D8+Par!D8+EDv!E7+Str!D8+Ele!D8+Wat!D8+San!D8+Ref!D8+Mayor!D8+CFO!D8+MB!D8+Infra!D8</f>
        <v>-1600</v>
      </c>
      <c r="E8" s="235">
        <f>+Cs!E8+Fin!E8+Rat!E8+MM!E8+Lib!E8+Pry!E8+Hal!E8+Cem!E8+Par!E8+EDv!F7+Str!E8+Ele!E8+Wat!E8+San!E8+Ref!E8+Mayor!E8+CFO!E8+MB!E8+Infra!E8</f>
        <v>-1700</v>
      </c>
      <c r="F8" s="235">
        <f>+Cs!F8+Fin!F8+Rat!F8+MM!F8+Lib!F8+Pry!F8+Hal!F8+Cem!F8+Par!F8+EDv!G7+Str!F8+Ele!F8+Wat!F8+San!F8+Ref!F8+Mayor!F8+CFO!F8+MB!F8+Infra!F8</f>
        <v>-1800</v>
      </c>
      <c r="G8" s="235">
        <f>+Cs!G8+Fin!G8+Rat!G8+MM!G8+Lib!G8+Pry!G8+Hal!G8+Cem!G8+Par!G8+EDv!H7+Str!G8+Ele!G8+Wat!G8+San!G8+Ref!G8+Mayor!G8+CFO!G8+MB!G8+Infra!G8</f>
        <v>-1900</v>
      </c>
      <c r="H8" s="66" t="s">
        <v>2707</v>
      </c>
      <c r="I8" s="66"/>
    </row>
    <row r="9" spans="1:9" x14ac:dyDescent="0.35">
      <c r="A9" s="66" t="s">
        <v>2834</v>
      </c>
      <c r="B9" s="89">
        <f>+Cs!B9+Fin!B9+Rat!B9+MM!B9+Lib!B9+Pry!B9+Hal!B9+Cem!B9+Par!B9+EDv!C8+Str!B9+Ele!B9+Wat!B9+San!B9+Ref!B9+Mayor!B9+CFO!B9+MB!B9+Infra!B9</f>
        <v>-1500</v>
      </c>
      <c r="C9" s="89">
        <f>+Cs!C9+Fin!C9+Rat!C9+MM!C9+Lib!C9+Pry!C9+Hal!C9+Cem!C9+Par!C9+EDv!D8+Str!C9+Ele!C9+Wat!C9+San!C9+Ref!C9+Mayor!C9+CFO!C9+MB!C9+Infra!C9</f>
        <v>-1500</v>
      </c>
      <c r="D9" s="89">
        <f>+Cs!D9+Fin!D9+Rat!D9+MM!D9+Lib!D9+Pry!D9+Hal!D9+Cem!D9+Par!D9+EDv!E8+Str!D9+Ele!D9+Wat!D9+San!D9+Ref!D9+Mayor!D9+CFO!D9+MB!D9+Infra!D9</f>
        <v>-250</v>
      </c>
      <c r="E9" s="235">
        <f>+Cs!E9+Fin!E9+Rat!E9+MM!E9+Lib!E9+Pry!E9+Hal!E9+Cem!E9+Par!E9+EDv!F8+Str!E9+Ele!E9+Wat!E9+San!E9+Ref!E9+Mayor!E9+CFO!E9+MB!E9+Infra!E9</f>
        <v>-500</v>
      </c>
      <c r="F9" s="235">
        <f>+Cs!F9+Fin!F9+Rat!F9+MM!F9+Lib!F9+Pry!F9+Hal!F9+Cem!F9+Par!F9+EDv!G8+Str!F9+Ele!F9+Wat!F9+San!F9+Ref!F9+Mayor!F9+CFO!F9+MB!F9+Infra!F9</f>
        <v>-500</v>
      </c>
      <c r="G9" s="235">
        <f>+Cs!G9+Fin!G9+Rat!G9+MM!G9+Lib!G9+Pry!G9+Hal!G9+Cem!G9+Par!G9+EDv!H8+Str!G9+Ele!G9+Wat!G9+San!G9+Ref!G9+Mayor!G9+CFO!G9+MB!G9+Infra!G9</f>
        <v>-500</v>
      </c>
      <c r="H9" s="66" t="s">
        <v>2707</v>
      </c>
      <c r="I9" s="66"/>
    </row>
    <row r="10" spans="1:9" x14ac:dyDescent="0.35">
      <c r="A10" s="66" t="s">
        <v>2894</v>
      </c>
      <c r="B10" s="89">
        <f>+Cs!B10+Fin!B10+Rat!B10+MM!B10+Lib!B10+Pry!B10+Hal!B10+Cem!B10+Par!B10+EDv!C9+Str!B10+Ele!B10+Wat!B10+San!B10+Ref!B10+Mayor!B10+CFO!B10+MB!B10+Infra!B10</f>
        <v>-60000</v>
      </c>
      <c r="C10" s="89">
        <f>+Cs!C10+Fin!C10+Rat!C10+MM!C10+Lib!C10+Pry!C10+Hal!C10+Cem!C10+Par!C10+EDv!D9+Str!C10+Ele!C10+Wat!C10+San!C10+Ref!C10+Mayor!C10+CFO!C10+MB!C10+Infra!C10</f>
        <v>0</v>
      </c>
      <c r="D10" s="89">
        <f>+Cs!D10+Fin!D10+Rat!D10+MM!D10+Lib!D10+Pry!D10+Hal!D10+Cem!D10+Par!D10+EDv!E9+Str!D10+Ele!D10+Wat!D10+San!D10+Ref!D10+Mayor!D10+CFO!D10+MB!D10+Infra!D10</f>
        <v>-58500</v>
      </c>
      <c r="E10" s="235">
        <f>+Cs!E10+Fin!E10+Rat!E10+MM!E10+Lib!E10+Pry!E10+Hal!E10+Cem!E10+Par!E10+EDv!F9+Str!E10+Ele!E10+Wat!E10+San!E10+Ref!E10+Mayor!E10+CFO!E10+MB!E10+Infra!E10</f>
        <v>-60000</v>
      </c>
      <c r="F10" s="235">
        <f>+Cs!F10+Fin!F10+Rat!F10+MM!F10+Lib!F10+Pry!F10+Hal!F10+Cem!F10+Par!F10+EDv!G9+Str!F10+Ele!F10+Wat!F10+San!F10+Ref!F10+Mayor!F10+CFO!F10+MB!F10+Infra!F10</f>
        <v>-63299.999999999993</v>
      </c>
      <c r="G10" s="235">
        <f>+Cs!G10+Fin!G10+Rat!G10+MM!G10+Lib!G10+Pry!G10+Hal!G10+Cem!G10+Par!G10+EDv!H9+Str!G10+Ele!G10+Wat!G10+San!G10+Ref!G10+Mayor!G10+CFO!G10+MB!G10+Infra!G10</f>
        <v>-66700</v>
      </c>
      <c r="H10" s="66" t="s">
        <v>2716</v>
      </c>
      <c r="I10" s="66"/>
    </row>
    <row r="11" spans="1:9" x14ac:dyDescent="0.35">
      <c r="A11" s="66" t="s">
        <v>2893</v>
      </c>
      <c r="B11" s="89">
        <f>+Cs!B11+Fin!B11+Rat!B11+MM!B11+Lib!B11+Pry!B11+Hal!B11+Cem!B11+Par!B11+EDv!C10+Str!B11+Ele!B11+Wat!B11+San!B11+Ref!B11+Mayor!B11+CFO!B11+MB!B11+Infra!B11</f>
        <v>-180000</v>
      </c>
      <c r="C11" s="89">
        <f>+Cs!C11+Fin!C11+Rat!C11+MM!C11+Lib!C11+Pry!C11+Hal!C11+Cem!C11+Par!C11+EDv!D10+Str!C11+Ele!C11+Wat!C11+San!C11+Ref!C11+Mayor!C11+CFO!C11+MB!C11+Infra!C11</f>
        <v>0</v>
      </c>
      <c r="D11" s="89">
        <f>+Cs!D11+Fin!D11+Rat!D11+MM!D11+Lib!D11+Pry!D11+Hal!D11+Cem!D11+Par!D11+EDv!E10+Str!D11+Ele!D11+Wat!D11+San!D11+Ref!D11+Mayor!D11+CFO!D11+MB!D11+Infra!D11</f>
        <v>-175000</v>
      </c>
      <c r="E11" s="235">
        <f>+Cs!E11+Fin!E11+Rat!E11+MM!E11+Lib!E11+Pry!E11+Hal!E11+Cem!E11+Par!E11+EDv!F10+Str!E11+Ele!E11+Wat!E11+San!E11+Ref!E11+Mayor!E11+CFO!E11+MB!E11+Infra!E11</f>
        <v>-180000</v>
      </c>
      <c r="F11" s="235">
        <f>+Cs!F11+Fin!F11+Rat!F11+MM!F11+Lib!F11+Pry!F11+Hal!F11+Cem!F11+Par!F11+EDv!G10+Str!F11+Ele!F11+Wat!F11+San!F11+Ref!F11+Mayor!F11+CFO!F11+MB!F11+Infra!F11</f>
        <v>-50000</v>
      </c>
      <c r="G11" s="235">
        <f>+Cs!G11+Fin!G11+Rat!G11+MM!G11+Lib!G11+Pry!G11+Hal!G11+Cem!G11+Par!G11+EDv!H10+Str!G11+Ele!G11+Wat!G11+San!G11+Ref!G11+Mayor!G11+CFO!G11+MB!G11+Infra!G11</f>
        <v>-50000</v>
      </c>
      <c r="H11" s="66" t="s">
        <v>2716</v>
      </c>
      <c r="I11" s="66"/>
    </row>
    <row r="12" spans="1:9" x14ac:dyDescent="0.35">
      <c r="A12" s="66" t="s">
        <v>2977</v>
      </c>
      <c r="B12" s="89">
        <f>+Cs!B12+Fin!B12+Rat!B12+MM!B12+Lib!B12+Pry!B12+Hal!B12+Cem!B12+Par!B12+EDv!C11+Str!B12+Ele!B12+Wat!B12+San!B12+Ref!B12+Mayor!B12+CFO!B12+MB!B12+Infra!B12</f>
        <v>-7000</v>
      </c>
      <c r="C12" s="89">
        <f>+Cs!C12+Fin!C12+Rat!C12+MM!C12+Lib!C12+Pry!C12+Hal!C12+Cem!C12+Par!C12+EDv!D11+Str!C12+Ele!C12+Wat!C12+San!C12+Ref!C12+Mayor!C12+CFO!C12+MB!C12+Infra!C12</f>
        <v>-7000</v>
      </c>
      <c r="D12" s="89">
        <f>+Cs!D12+Fin!D12+Rat!D12+MM!D12+Lib!D12+Pry!D12+Hal!D12+Cem!D12+Par!D12+EDv!E11+Str!D12+Ele!D12+Wat!D12+San!D12+Ref!D12+Mayor!D12+CFO!D12+MB!D12+Infra!D12</f>
        <v>-6200</v>
      </c>
      <c r="E12" s="235">
        <f>+Cs!E12+Fin!E12+Rat!E12+MM!E12+Lib!E12+Pry!E12+Hal!E12+Cem!E12+Par!E12+EDv!F11+Str!E12+Ele!E12+Wat!E12+San!E12+Ref!E12+Mayor!E12+CFO!E12+MB!E12+Infra!E12</f>
        <v>-7000</v>
      </c>
      <c r="F12" s="235">
        <f>+Cs!F12+Fin!F12+Rat!F12+MM!F12+Lib!F12+Pry!F12+Hal!F12+Cem!F12+Par!F12+EDv!G11+Str!F12+Ele!F12+Wat!F12+San!F12+Ref!F12+Mayor!F12+CFO!F12+MB!F12+Infra!F12</f>
        <v>-8000</v>
      </c>
      <c r="G12" s="235">
        <f>+Cs!G12+Fin!G12+Rat!G12+MM!G12+Lib!G12+Pry!G12+Hal!G12+Cem!G12+Par!G12+EDv!H11+Str!G12+Ele!G12+Wat!G12+San!G12+Ref!G12+Mayor!G12+CFO!G12+MB!G12+Infra!G12</f>
        <v>-9000</v>
      </c>
      <c r="H12" s="66" t="s">
        <v>2707</v>
      </c>
      <c r="I12" s="66"/>
    </row>
    <row r="13" spans="1:9" x14ac:dyDescent="0.35">
      <c r="A13" s="66" t="s">
        <v>2981</v>
      </c>
      <c r="B13" s="89">
        <f>+Cs!B13+Fin!B13+Rat!B13+MM!B13+Lib!B13+Pry!B13+Hal!B13+Cem!B13+Par!B13+EDv!C12+Str!B13+Ele!B13+Wat!B13+San!B13+Ref!B13+Mayor!B13+CFO!B13+MB!B13+Infra!B13</f>
        <v>-2000</v>
      </c>
      <c r="C13" s="89">
        <f>+Cs!C13+Fin!C13+Rat!C13+MM!C13+Lib!C13+Pry!C13+Hal!C13+Cem!C13+Par!C13+EDv!D12+Str!C13+Ele!C13+Wat!C13+San!C13+Ref!C13+Mayor!C13+CFO!C13+MB!C13+Infra!C13</f>
        <v>-2000</v>
      </c>
      <c r="D13" s="89">
        <f>+Cs!D13+Fin!D13+Rat!D13+MM!D13+Lib!D13+Pry!D13+Hal!D13+Cem!D13+Par!D13+EDv!E12+Str!D13+Ele!D13+Wat!D13+San!D13+Ref!D13+Mayor!D13+CFO!D13+MB!D13+Infra!D13</f>
        <v>-1500</v>
      </c>
      <c r="E13" s="235">
        <f>+Cs!E13+Fin!E13+Rat!E13+MM!E13+Lib!E13+Pry!E13+Hal!E13+Cem!E13+Par!E13+EDv!F12+Str!E13+Ele!E13+Wat!E13+San!E13+Ref!E13+Mayor!E13+CFO!E13+MB!E13+Infra!E13</f>
        <v>-2000</v>
      </c>
      <c r="F13" s="235">
        <f>+Cs!F13+Fin!F13+Rat!F13+MM!F13+Lib!F13+Pry!F13+Hal!F13+Cem!F13+Par!F13+EDv!G12+Str!F13+Ele!F13+Wat!F13+San!F13+Ref!F13+Mayor!F13+CFO!F13+MB!F13+Infra!F13</f>
        <v>-2200</v>
      </c>
      <c r="G13" s="235">
        <f>+Cs!G13+Fin!G13+Rat!G13+MM!G13+Lib!G13+Pry!G13+Hal!G13+Cem!G13+Par!G13+EDv!H12+Str!G13+Ele!G13+Wat!G13+San!G13+Ref!G13+Mayor!G13+CFO!G13+MB!G13+Infra!G13</f>
        <v>-2400</v>
      </c>
      <c r="H13" s="66" t="s">
        <v>3464</v>
      </c>
      <c r="I13" s="66" t="s">
        <v>2619</v>
      </c>
    </row>
    <row r="14" spans="1:9" x14ac:dyDescent="0.35">
      <c r="A14" s="66" t="s">
        <v>2895</v>
      </c>
      <c r="B14" s="89">
        <f>+Cs!B14+Fin!B14+Rat!B14+MM!B14+Lib!B14+Pry!B14+Hal!B14+Cem!B14+Par!B14+EDv!C13+Str!B14+Ele!B14+Wat!B14+San!B14+Ref!B14+Mayor!B14+CFO!B14+MB!B14+Infra!B14</f>
        <v>-18700</v>
      </c>
      <c r="C14" s="89">
        <f>+Cs!C14+Fin!C14+Rat!C14+MM!C14+Lib!C14+Pry!C14+Hal!C14+Cem!C14+Par!C14+EDv!D13+Str!C14+Ele!C14+Wat!C14+San!C14+Ref!C14+Mayor!C14+CFO!C14+MB!C14+Infra!C14</f>
        <v>-18700</v>
      </c>
      <c r="D14" s="89">
        <f>+Cs!D14+Fin!D14+Rat!D14+MM!D14+Lib!D14+Pry!D14+Hal!D14+Cem!D14+Par!D14+EDv!E13+Str!D14+Ele!D14+Wat!D14+San!D14+Ref!D14+Mayor!D14+CFO!D14+MB!D14+Infra!D14</f>
        <v>-16500</v>
      </c>
      <c r="E14" s="235">
        <f>+Cs!E14+Fin!E14+Rat!E14+MM!E14+Lib!E14+Pry!E14+Hal!E14+Cem!E14+Par!E14+EDv!F13+Str!E14+Ele!E14+Wat!E14+San!E14+Ref!E14+Mayor!E14+CFO!E14+MB!E14+Infra!E14</f>
        <v>-18700</v>
      </c>
      <c r="F14" s="235">
        <f>+Cs!F14+Fin!F14+Rat!F14+MM!F14+Lib!F14+Pry!F14+Hal!F14+Cem!F14+Par!F14+EDv!G13+Str!F14+Ele!F14+Wat!F14+San!F14+Ref!F14+Mayor!F14+CFO!F14+MB!F14+Infra!F14</f>
        <v>-19800</v>
      </c>
      <c r="G14" s="235">
        <f>+Cs!G14+Fin!G14+Rat!G14+MM!G14+Lib!G14+Pry!G14+Hal!G14+Cem!G14+Par!G14+EDv!H13+Str!G14+Ele!G14+Wat!G14+San!G14+Ref!G14+Mayor!G14+CFO!G14+MB!G14+Infra!G14</f>
        <v>-20900</v>
      </c>
      <c r="H14" s="66" t="s">
        <v>3464</v>
      </c>
      <c r="I14" s="66" t="s">
        <v>2619</v>
      </c>
    </row>
    <row r="15" spans="1:9" x14ac:dyDescent="0.35">
      <c r="A15" s="66" t="s">
        <v>3538</v>
      </c>
      <c r="B15" s="89">
        <f>+Cs!B15+Fin!B15+Rat!B15+MM!B15+Lib!B15+Pry!B15+Hal!B15+Cem!B15+Par!B15+EDv!C14+Str!B15+Ele!B15+Wat!B15+San!B15+Ref!B15+Mayor!B15+CFO!B15+MB!B15+Infra!B15</f>
        <v>-5619300</v>
      </c>
      <c r="C15" s="89">
        <f>+Cs!C15+Fin!C15+Rat!C15+MM!C15+Lib!C15+Pry!C15+Hal!C15+Cem!C15+Par!C15+EDv!D14+Str!C15+Ele!C15+Wat!C15+San!C15+Ref!C15+Mayor!C15+CFO!C15+MB!C15+Infra!C15</f>
        <v>-6292300</v>
      </c>
      <c r="D15" s="89">
        <f>+Cs!D15+Fin!D15+Rat!D15+MM!D15+Lib!D15+Pry!D15+Hal!D15+Cem!D15+Par!D15+EDv!E14+Str!D15+Ele!D15+Wat!D15+San!D15+Ref!D15+Mayor!D15+CFO!D15+MB!D15+Infra!D15</f>
        <v>-4861575.4800000004</v>
      </c>
      <c r="E15" s="235">
        <f>+Cs!E15+Fin!E15+Rat!E15+MM!E15+Lib!E15+Pry!E15+Hal!E15+Cem!E15+Par!E15+EDv!F14+Str!E15+Ele!E15+Wat!E15+San!E15+Ref!E15+Mayor!E15+CFO!E15+MB!E15+Infra!E15</f>
        <v>-5197100</v>
      </c>
      <c r="F15" s="235">
        <f>+Cs!F15+Fin!F15+Rat!F15+MM!F15+Lib!F15+Pry!F15+Hal!F15+Cem!F15+Par!F15+EDv!G14+Str!F15+Ele!F15+Wat!F15+San!F15+Ref!F15+Mayor!F15+CFO!F15+MB!F15+Infra!F15</f>
        <v>-5436200</v>
      </c>
      <c r="G15" s="235">
        <f>+Cs!G15+Fin!G15+Rat!G15+MM!G15+Lib!G15+Pry!G15+Hal!G15+Cem!G15+Par!G15+EDv!H14+Str!G15+Ele!G15+Wat!G15+San!G15+Ref!G15+Mayor!G15+CFO!G15+MB!G15+Infra!G15</f>
        <v>-5686300</v>
      </c>
      <c r="H15" s="66" t="s">
        <v>3464</v>
      </c>
      <c r="I15" s="66" t="s">
        <v>2619</v>
      </c>
    </row>
    <row r="16" spans="1:9" x14ac:dyDescent="0.35">
      <c r="A16" s="66" t="s">
        <v>2980</v>
      </c>
      <c r="B16" s="89">
        <f>+Cs!B16+Fin!B16+Rat!B16+MM!B16+Lib!B16+Pry!B16+Hal!B16+Cem!B16+Par!B16+EDv!C15+Str!B16+Ele!B16+Wat!B16+San!B16+Ref!B16+Mayor!B16+CFO!B16+MB!B16+Infra!B16</f>
        <v>-17300</v>
      </c>
      <c r="C16" s="89">
        <f>+Cs!C16+Fin!C16+Rat!C16+MM!C16+Lib!C16+Pry!C16+Hal!C16+Cem!C16+Par!C16+EDv!D15+Str!C16+Ele!C16+Wat!C16+San!C16+Ref!C16+Mayor!C16+CFO!C16+MB!C16+Infra!C16</f>
        <v>-17300</v>
      </c>
      <c r="D16" s="89">
        <f>+Cs!D16+Fin!D16+Rat!D16+MM!D16+Lib!D16+Pry!D16+Hal!D16+Cem!D16+Par!D16+EDv!E15+Str!D16+Ele!D16+Wat!D16+San!D16+Ref!D16+Mayor!D16+CFO!D16+MB!D16+Infra!D16</f>
        <v>-14500</v>
      </c>
      <c r="E16" s="235">
        <f>+Cs!E16+Fin!E16+Rat!E16+MM!E16+Lib!E16+Pry!E16+Hal!E16+Cem!E16+Par!E16+EDv!F15+Str!E16+Ele!E16+Wat!E16+San!E16+Ref!E16+Mayor!E16+CFO!E16+MB!E16+Infra!E16</f>
        <v>-17300</v>
      </c>
      <c r="F16" s="235">
        <f>+Cs!F16+Fin!F16+Rat!F16+MM!F16+Lib!F16+Pry!F16+Hal!F16+Cem!F16+Par!F16+EDv!G15+Str!F16+Ele!F16+Wat!F16+San!F16+Ref!F16+Mayor!F16+CFO!F16+MB!F16+Infra!F16</f>
        <v>-18300</v>
      </c>
      <c r="G16" s="235">
        <f>+Cs!G16+Fin!G16+Rat!G16+MM!G16+Lib!G16+Pry!G16+Hal!G16+Cem!G16+Par!G16+EDv!H15+Str!G16+Ele!G16+Wat!G16+San!G16+Ref!G16+Mayor!G16+CFO!G16+MB!G16+Infra!G16</f>
        <v>-19300</v>
      </c>
      <c r="H16" s="66" t="s">
        <v>3464</v>
      </c>
      <c r="I16" s="66" t="s">
        <v>2619</v>
      </c>
    </row>
    <row r="17" spans="1:11" x14ac:dyDescent="0.35">
      <c r="A17" s="66" t="s">
        <v>3537</v>
      </c>
      <c r="B17" s="89">
        <f>+Cs!B17+Fin!B17+Rat!B17+MM!B17+Lib!B17+Pry!B17+Hal!B17+Cem!B17+Par!B17+EDv!C16+Str!B17+Ele!B17+Wat!B17+San!B17+Ref!B17+Mayor!B17+CFO!B17+MB!B17+Infra!B17</f>
        <v>0</v>
      </c>
      <c r="C17" s="89">
        <f>+Cs!C17+Fin!C17+Rat!C17+MM!C17+Lib!C17+Pry!C17+Hal!C17+Cem!C17+Par!C17+EDv!D16+Str!C17+Ele!C17+Wat!C17+San!C17+Ref!C17+Mayor!C17+CFO!C17+MB!C17+Infra!C17</f>
        <v>0</v>
      </c>
      <c r="D17" s="89">
        <f>+Cs!D17+Fin!D17+Rat!D17+MM!D17+Lib!D17+Pry!D17+Hal!D17+Cem!D17+Par!D17+EDv!E16+Str!D17+Ele!D17+Wat!D17+San!D17+Ref!D17+Mayor!D17+CFO!D17+MB!D17+Infra!D17</f>
        <v>-271591.55</v>
      </c>
      <c r="E17" s="235">
        <f>+Cs!E17+Fin!E17+Rat!E17+MM!E17+Lib!E17+Pry!E17+Hal!E17+Cem!E17+Par!E17+EDv!F16+Str!E17+Ele!E17+Wat!E17+San!E17+Ref!E17+Mayor!E17+CFO!E17+MB!E17+Infra!E17</f>
        <v>-290400</v>
      </c>
      <c r="F17" s="235">
        <f>+Cs!F17+Fin!F17+Rat!F17+MM!F17+Lib!F17+Pry!F17+Hal!F17+Cem!F17+Par!F17+EDv!G16+Str!F17+Ele!F17+Wat!F17+San!F17+Ref!F17+Mayor!F17+CFO!F17+MB!F17+Infra!F17</f>
        <v>-303800</v>
      </c>
      <c r="G17" s="235">
        <f>+Cs!G17+Fin!G17+Rat!G17+MM!G17+Lib!G17+Pry!G17+Hal!G17+Cem!G17+Par!G17+EDv!H16+Str!G17+Ele!G17+Wat!G17+San!G17+Ref!G17+Mayor!G17+CFO!G17+MB!G17+Infra!G17</f>
        <v>-317800</v>
      </c>
      <c r="H17" s="66" t="s">
        <v>3464</v>
      </c>
      <c r="I17" s="66" t="s">
        <v>2619</v>
      </c>
    </row>
    <row r="18" spans="1:11" x14ac:dyDescent="0.35">
      <c r="A18" s="66" t="s">
        <v>3533</v>
      </c>
      <c r="B18" s="89">
        <f>+Cs!B18+Fin!B18+Rat!B18+MM!B18+Lib!B18+Pry!B18+Hal!B18+Cem!B18+Par!B18+EDv!C17+Str!B18+Ele!B18+Wat!B18+San!B18+Ref!B18+Mayor!B18+CFO!B18+MB!B18+Infra!B18</f>
        <v>-6431500</v>
      </c>
      <c r="C18" s="89">
        <f>+Cs!C18+Fin!C18+Rat!C18+MM!C18+Lib!C18+Pry!C18+Hal!C18+Cem!C18+Par!C18+EDv!D17+Str!C18+Ele!C18+Wat!C18+San!C18+Ref!C18+Mayor!C18+CFO!C18+MB!C18+Infra!C18</f>
        <v>-6431500</v>
      </c>
      <c r="D18" s="89">
        <f>+Cs!D18+Fin!D18+Rat!D18+MM!D18+Lib!D18+Pry!D18+Hal!D18+Cem!D18+Par!D18+EDv!E17+Str!D18+Ele!D18+Wat!D18+San!D18+Ref!D18+Mayor!D18+CFO!D18+MB!D18+Infra!D18</f>
        <v>-5118864.8600000003</v>
      </c>
      <c r="E18" s="235">
        <f>+Cs!E18+Fin!E18+Rat!E18+MM!E18+Lib!E18+Pry!E18+Hal!E18+Cem!E18+Par!E18+EDv!F17+Str!E18+Ele!E18+Wat!E18+San!E18+Ref!E18+Mayor!E18+CFO!E18+MB!E18+Infra!E18</f>
        <v>-5472100</v>
      </c>
      <c r="F18" s="235">
        <f>+Cs!F18+Fin!F18+Rat!F18+MM!F18+Lib!F18+Pry!F18+Hal!F18+Cem!F18+Par!F18+EDv!G17+Str!F18+Ele!F18+Wat!F18+San!F18+Ref!F18+Mayor!F18+CFO!F18+MB!F18+Infra!F18</f>
        <v>-5723900</v>
      </c>
      <c r="G18" s="235">
        <f>+Cs!G18+Fin!G18+Rat!G18+MM!G18+Lib!G18+Pry!G18+Hal!G18+Cem!G18+Par!G18+EDv!H17+Str!G18+Ele!G18+Wat!G18+San!G18+Ref!G18+Mayor!G18+CFO!G18+MB!G18+Infra!G18</f>
        <v>-5987200</v>
      </c>
      <c r="H18" s="66" t="s">
        <v>3464</v>
      </c>
      <c r="I18" s="66" t="s">
        <v>2619</v>
      </c>
    </row>
    <row r="19" spans="1:11" x14ac:dyDescent="0.35">
      <c r="A19" s="66" t="s">
        <v>3532</v>
      </c>
      <c r="B19" s="89">
        <f>+Cs!B19+Fin!B19+Rat!B19+MM!B19+Lib!B19+Pry!B19+Hal!B19+Cem!B19+Par!B19+EDv!C18+Str!B19+Ele!B19+Wat!B19+San!B19+Ref!B19+Mayor!B19+CFO!B19+MB!B19+Infra!B19</f>
        <v>0</v>
      </c>
      <c r="C19" s="89">
        <f>+Cs!C19+Fin!C19+Rat!C19+MM!C19+Lib!C19+Pry!C19+Hal!C19+Cem!C19+Par!C19+EDv!D18+Str!C19+Ele!C19+Wat!C19+San!C19+Ref!C19+Mayor!C19+CFO!C19+MB!C19+Infra!C19</f>
        <v>0</v>
      </c>
      <c r="D19" s="89">
        <f>+Cs!D19+Fin!D19+Rat!D19+MM!D19+Lib!D19+Pry!D19+Hal!D19+Cem!D19+Par!D19+EDv!E18+Str!D19+Ele!D19+Wat!D19+San!D19+Ref!D19+Mayor!D19+CFO!D19+MB!D19+Infra!D19</f>
        <v>-825787.05</v>
      </c>
      <c r="E19" s="235">
        <f>+Cs!E19+Fin!E19+Rat!E19+MM!E19+Lib!E19+Pry!E19+Hal!E19+Cem!E19+Par!E19+EDv!F18+Str!E19+Ele!E19+Wat!E19+San!E19+Ref!E19+Mayor!E19+CFO!E19+MB!E19+Infra!E19</f>
        <v>-882800</v>
      </c>
      <c r="F19" s="235">
        <f>+Cs!F19+Fin!F19+Rat!F19+MM!F19+Lib!F19+Pry!F19+Hal!F19+Cem!F19+Par!F19+EDv!G18+Str!F19+Ele!F19+Wat!F19+San!F19+Ref!F19+Mayor!F19+CFO!F19+MB!F19+Infra!F19</f>
        <v>-923500</v>
      </c>
      <c r="G19" s="235">
        <f>+Cs!G19+Fin!G19+Rat!G19+MM!G19+Lib!G19+Pry!G19+Hal!G19+Cem!G19+Par!G19+EDv!H18+Str!G19+Ele!G19+Wat!G19+San!G19+Ref!G19+Mayor!G19+CFO!G19+MB!G19+Infra!G19</f>
        <v>-966000</v>
      </c>
      <c r="H19" s="66" t="s">
        <v>3464</v>
      </c>
      <c r="I19" s="66" t="s">
        <v>2619</v>
      </c>
    </row>
    <row r="20" spans="1:11" x14ac:dyDescent="0.35">
      <c r="A20" s="66" t="s">
        <v>3534</v>
      </c>
      <c r="B20" s="89">
        <f>+Cs!B20+Fin!B20+Rat!B20+MM!B20+Lib!B20+Pry!B20+Hal!B20+Cem!B20+Par!B20+EDv!C19+Str!B20+Ele!B20+Wat!B20+San!B20+Ref!B20+Mayor!B20+CFO!B20+MB!B20+Infra!B20</f>
        <v>0</v>
      </c>
      <c r="C20" s="89">
        <f>+Cs!C20+Fin!C20+Rat!C20+MM!C20+Lib!C20+Pry!C20+Hal!C20+Cem!C20+Par!C20+EDv!D19+Str!C20+Ele!C20+Wat!C20+San!C20+Ref!C20+Mayor!C20+CFO!C20+MB!C20+Infra!C20</f>
        <v>0</v>
      </c>
      <c r="D20" s="89">
        <f>+Cs!D20+Fin!D20+Rat!D20+MM!D20+Lib!D20+Pry!D20+Hal!D20+Cem!D20+Par!D20+EDv!E19+Str!D20+Ele!D20+Wat!D20+San!D20+Ref!D20+Mayor!D20+CFO!D20+MB!D20+Infra!D20</f>
        <v>-536134.26</v>
      </c>
      <c r="E20" s="235">
        <f>+Cs!E20+Fin!E20+Rat!E20+MM!E20+Lib!E20+Pry!E20+Hal!E20+Cem!E20+Par!E20+EDv!F19+Str!E20+Ele!E20+Wat!E20+San!E20+Ref!E20+Mayor!E20+CFO!E20+MB!E20+Infra!E20</f>
        <v>-573200</v>
      </c>
      <c r="F20" s="235">
        <f>+Cs!F20+Fin!F20+Rat!F20+MM!F20+Lib!F20+Pry!F20+Hal!F20+Cem!F20+Par!F20+EDv!G19+Str!F20+Ele!F20+Wat!F20+San!F20+Ref!F20+Mayor!F20+CFO!F20+MB!F20+Infra!F20</f>
        <v>-599600</v>
      </c>
      <c r="G20" s="235">
        <f>+Cs!G20+Fin!G20+Rat!G20+MM!G20+Lib!G20+Pry!G20+Hal!G20+Cem!G20+Par!G20+EDv!H19+Str!G20+Ele!G20+Wat!G20+San!G20+Ref!G20+Mayor!G20+CFO!G20+MB!G20+Infra!G20</f>
        <v>-627200</v>
      </c>
      <c r="H20" s="66" t="s">
        <v>3464</v>
      </c>
      <c r="I20" s="66" t="s">
        <v>2619</v>
      </c>
    </row>
    <row r="21" spans="1:11" x14ac:dyDescent="0.35">
      <c r="A21" s="66" t="s">
        <v>3535</v>
      </c>
      <c r="B21" s="89">
        <f>+Cs!B21+Fin!B21+Rat!B21+MM!B21+Lib!B21+Pry!B21+Hal!B21+Cem!B21+Par!B21+EDv!C20+Str!B21+Ele!B21+Wat!B21+San!B21+Ref!B21+Mayor!B21+CFO!B21+MB!B21+Infra!B21</f>
        <v>0</v>
      </c>
      <c r="C21" s="89">
        <f>+Cs!C21+Fin!C21+Rat!C21+MM!C21+Lib!C21+Pry!C21+Hal!C21+Cem!C21+Par!C21+EDv!D20+Str!C21+Ele!C21+Wat!C21+San!C21+Ref!C21+Mayor!C21+CFO!C21+MB!C21+Infra!C21</f>
        <v>0</v>
      </c>
      <c r="D21" s="89">
        <f>+Cs!D21+Fin!D21+Rat!D21+MM!D21+Lib!D21+Pry!D21+Hal!D21+Cem!D21+Par!D21+EDv!E20+Str!D21+Ele!D21+Wat!D21+San!D21+Ref!D21+Mayor!D21+CFO!D21+MB!D21+Infra!D21</f>
        <v>-98485.19</v>
      </c>
      <c r="E21" s="235">
        <f>+Cs!E21+Fin!E21+Rat!E21+MM!E21+Lib!E21+Pry!E21+Hal!E21+Cem!E21+Par!E21+EDv!F20+Str!E21+Ele!E21+Wat!E21+San!E21+Ref!E21+Mayor!E21+CFO!E21+MB!E21+Infra!E21</f>
        <v>-105300</v>
      </c>
      <c r="F21" s="235">
        <f>+Cs!F21+Fin!F21+Rat!F21+MM!F21+Lib!F21+Pry!F21+Hal!F21+Cem!F21+Par!F21+EDv!G20+Str!F21+Ele!F21+Wat!F21+San!F21+Ref!F21+Mayor!F21+CFO!F21+MB!F21+Infra!F21</f>
        <v>-110200</v>
      </c>
      <c r="G21" s="235">
        <f>+Cs!G21+Fin!G21+Rat!G21+MM!G21+Lib!G21+Pry!G21+Hal!G21+Cem!G21+Par!G21+EDv!H20+Str!G21+Ele!G21+Wat!G21+San!G21+Ref!G21+Mayor!G21+CFO!G21+MB!G21+Infra!G21</f>
        <v>-115300</v>
      </c>
      <c r="H21" s="66" t="s">
        <v>3464</v>
      </c>
      <c r="I21" s="66" t="s">
        <v>2619</v>
      </c>
    </row>
    <row r="22" spans="1:11" x14ac:dyDescent="0.35">
      <c r="A22" s="66" t="s">
        <v>3536</v>
      </c>
      <c r="B22" s="89">
        <f>+Cs!B22+Fin!B22+Rat!B22+MM!B22+Lib!B22+Pry!B22+Hal!B22+Cem!B22+Par!B22+EDv!C21+Str!B22+Ele!B22+Wat!B22+San!B22+Ref!B22+Mayor!B22+CFO!B22+MB!B22+Infra!B22</f>
        <v>0</v>
      </c>
      <c r="C22" s="89">
        <f>+Cs!C22+Fin!C22+Rat!C22+MM!C22+Lib!C22+Pry!C22+Hal!C22+Cem!C22+Par!C22+EDv!D21+Str!C22+Ele!C22+Wat!C22+San!C22+Ref!C22+Mayor!C22+CFO!C22+MB!C22+Infra!C22</f>
        <v>0</v>
      </c>
      <c r="D22" s="89">
        <f>+Cs!D22+Fin!D22+Rat!D22+MM!D22+Lib!D22+Pry!D22+Hal!D22+Cem!D22+Par!D22+EDv!E21+Str!D22+Ele!D22+Wat!D22+San!D22+Ref!D22+Mayor!D22+CFO!D22+MB!D22+Infra!D22</f>
        <v>-6850.11</v>
      </c>
      <c r="E22" s="235">
        <f>+Cs!E22+Fin!E22+Rat!E22+MM!E22+Lib!E22+Pry!E22+Hal!E22+Cem!E22+Par!E22+EDv!F21+Str!E22+Ele!E22+Wat!E22+San!E22+Ref!E22+Mayor!E22+CFO!E22+MB!E22+Infra!E22</f>
        <v>-7400</v>
      </c>
      <c r="F22" s="235">
        <f>+Cs!F22+Fin!F22+Rat!F22+MM!F22+Lib!F22+Pry!F22+Hal!F22+Cem!F22+Par!F22+EDv!G21+Str!F22+Ele!F22+Wat!F22+San!F22+Ref!F22+Mayor!F22+CFO!F22+MB!F22+Infra!F22</f>
        <v>-7800</v>
      </c>
      <c r="G22" s="235">
        <f>+Cs!G22+Fin!G22+Rat!G22+MM!G22+Lib!G22+Pry!G22+Hal!G22+Cem!G22+Par!G22+EDv!H21+Str!G22+Ele!G22+Wat!G22+San!G22+Ref!G22+Mayor!G22+CFO!G22+MB!G22+Infra!G22</f>
        <v>-8200</v>
      </c>
      <c r="H22" s="66" t="s">
        <v>3464</v>
      </c>
      <c r="I22" s="66" t="s">
        <v>2619</v>
      </c>
    </row>
    <row r="23" spans="1:11" x14ac:dyDescent="0.35">
      <c r="A23" s="66" t="s">
        <v>2896</v>
      </c>
      <c r="B23" s="89">
        <f>+Cs!B23+Fin!B23+Rat!B23+MM!B23+Lib!B23+Pry!B23+Hal!B23+Cem!B23+Par!B23+EDv!C22+Str!B23+Ele!B23+Wat!B23+San!B23+Ref!B23+Mayor!B23+CFO!B23+MB!B23+Infra!B23</f>
        <v>-12000</v>
      </c>
      <c r="C23" s="89">
        <f>+Cs!C23+Fin!C23+Rat!C23+MM!C23+Lib!C23+Pry!C23+Hal!C23+Cem!C23+Par!C23+EDv!D22+Str!C23+Ele!C23+Wat!C23+San!C23+Ref!C23+Mayor!C23+CFO!C23+MB!C23+Infra!C23</f>
        <v>0</v>
      </c>
      <c r="D23" s="89">
        <f>+Cs!D23+Fin!D23+Rat!D23+MM!D23+Lib!D23+Pry!D23+Hal!D23+Cem!D23+Par!D23+EDv!E22+Str!D23+Ele!D23+Wat!D23+San!D23+Ref!D23+Mayor!D23+CFO!D23+MB!D23+Infra!D23</f>
        <v>-6000</v>
      </c>
      <c r="E23" s="235">
        <f>+Cs!E23+Fin!E23+Rat!E23+MM!E23+Lib!E23+Pry!E23+Hal!E23+Cem!E23+Par!E23+EDv!F22+Str!E23+Ele!E23+Wat!E23+San!E23+Ref!E23+Mayor!E23+CFO!E23+MB!E23+Infra!E23</f>
        <v>-12000</v>
      </c>
      <c r="F23" s="235">
        <f>+Cs!F23+Fin!F23+Rat!F23+MM!F23+Lib!F23+Pry!F23+Hal!F23+Cem!F23+Par!F23+EDv!G22+Str!F23+Ele!F23+Wat!F23+San!F23+Ref!F23+Mayor!F23+CFO!F23+MB!F23+Infra!F23</f>
        <v>-12000</v>
      </c>
      <c r="G23" s="235">
        <f>+Cs!G23+Fin!G23+Rat!G23+MM!G23+Lib!G23+Pry!G23+Hal!G23+Cem!G23+Par!G23+EDv!H22+Str!G23+Ele!G23+Wat!G23+San!G23+Ref!G23+Mayor!G23+CFO!G23+MB!G23+Infra!G23</f>
        <v>-12000</v>
      </c>
      <c r="H23" s="66" t="s">
        <v>2705</v>
      </c>
      <c r="I23" s="66"/>
    </row>
    <row r="24" spans="1:11" x14ac:dyDescent="0.35">
      <c r="A24" s="66" t="s">
        <v>2832</v>
      </c>
      <c r="B24" s="89">
        <f>+Cs!B24+Fin!B24+Rat!B24+MM!B24+Lib!B24+Pry!B24+Hal!B24+Cem!B24+Par!B24+EDv!C23+Str!B24+Ele!B24+Wat!B24+San!B24+Ref!B24+Mayor!B24+CFO!B24+MB!B24+Infra!B24</f>
        <v>-5000000</v>
      </c>
      <c r="C24" s="89">
        <f>+Cs!C24+Fin!C24+Rat!C24+MM!C24+Lib!C24+Pry!C24+Hal!C24+Cem!C24+Par!C24+EDv!D23+Str!C24+Ele!C24+Wat!C24+San!C24+Ref!C24+Mayor!C24+CFO!C24+MB!C24+Infra!C24</f>
        <v>0</v>
      </c>
      <c r="D24" s="89">
        <f>+Cs!D24+Fin!D24+Rat!D24+MM!D24+Lib!D24+Pry!D24+Hal!D24+Cem!D24+Par!D24+EDv!E23+Str!D24+Ele!D24+Wat!D24+San!D24+Ref!D24+Mayor!D24+CFO!D24+MB!D24+Infra!D24</f>
        <v>0</v>
      </c>
      <c r="E24" s="89">
        <f>+Cs!E24+Fin!E24+Rat!E24+MM!E24+Lib!E24+Pry!E24+Hal!E24+Cem!E24+Par!E24+EDv!F23+Str!E24+Ele!E24+Wat!E24+San!E24+Ref!E24+Mayor!E24+CFO!E24+MB!E24+Infra!E24</f>
        <v>0</v>
      </c>
      <c r="F24" s="89">
        <f>+Cs!F24+Fin!F24+Rat!F24+MM!F24+Lib!F24+Pry!F24+Hal!F24+Cem!F24+Par!F24+EDv!G23+Str!F24+Ele!F24+Wat!F24+San!F24+Ref!F24+Mayor!F24+CFO!F24+MB!F24+Infra!F24</f>
        <v>0</v>
      </c>
      <c r="G24" s="89">
        <f>+Cs!G24+Fin!G24+Rat!G24+MM!G24+Lib!G24+Pry!G24+Hal!G24+Cem!G24+Par!G24+EDv!H23+Str!G24+Ele!G24+Wat!G24+San!G24+Ref!G24+Mayor!G24+CFO!G24+MB!G24+Infra!G24</f>
        <v>0</v>
      </c>
      <c r="H24" s="66" t="s">
        <v>3467</v>
      </c>
      <c r="I24" s="66" t="s">
        <v>3466</v>
      </c>
    </row>
    <row r="25" spans="1:11" x14ac:dyDescent="0.35">
      <c r="A25" s="66" t="s">
        <v>2825</v>
      </c>
      <c r="B25" s="89">
        <f>+Cs!B25+Fin!B25+Rat!B25+MM!B25+Lib!B25+Pry!B25+Hal!B25+Cem!B25+Par!B25+EDv!C24+Str!B25+Ele!B25+Wat!B25+San!B25+Ref!B25+Mayor!B25+CFO!B25+MB!B25+Infra!B25</f>
        <v>-22416000</v>
      </c>
      <c r="C25" s="89">
        <f>+Cs!C25+Fin!C25+Rat!C25+MM!C25+Lib!C25+Pry!C25+Hal!C25+Cem!C25+Par!C25+EDv!D24+Str!C25+Ele!C25+Wat!C25+San!C25+Ref!C25+Mayor!C25+CFO!C25+MB!C25+Infra!C25</f>
        <v>-22416000</v>
      </c>
      <c r="D25" s="89">
        <f>+Cs!D25+Fin!D25+Rat!D25+MM!D25+Lib!D25+Pry!D25+Hal!D25+Cem!D25+Par!D25+EDv!E24+Str!D25+Ele!D25+Wat!D25+San!D25+Ref!D25+Mayor!D25+CFO!D25+MB!D25+Infra!D25</f>
        <v>-22416000</v>
      </c>
      <c r="E25" s="235">
        <f>+Cs!E25+Fin!E25+Rat!E25+MM!E25+Lib!E25+Pry!E25+Hal!E25+Cem!E25+Par!E25+EDv!F24+Str!E25+Ele!E25+Wat!E25+San!E25+Ref!E25+Mayor!E25+CFO!E25+MB!E25+Infra!E25</f>
        <v>-24142000</v>
      </c>
      <c r="F25" s="235">
        <f>+Cs!F25+Fin!F25+Rat!F25+MM!F25+Lib!F25+Pry!F25+Hal!F25+Cem!F25+Par!F25+EDv!G24+Str!F25+Ele!F25+Wat!F25+San!F25+Ref!F25+Mayor!F25+CFO!F25+MB!F25+Infra!F25</f>
        <v>-26119000</v>
      </c>
      <c r="G25" s="235">
        <f>+Cs!G25+Fin!G25+Rat!G25+MM!G25+Lib!G25+Pry!G25+Hal!G25+Cem!G25+Par!G25+EDv!H24+Str!G25+Ele!G25+Wat!G25+San!G25+Ref!G25+Mayor!G25+CFO!G25+MB!G25+Infra!G25</f>
        <v>-28011000</v>
      </c>
      <c r="H25" s="66" t="s">
        <v>3467</v>
      </c>
      <c r="I25" s="66" t="s">
        <v>3468</v>
      </c>
    </row>
    <row r="26" spans="1:11" x14ac:dyDescent="0.35">
      <c r="A26" s="66" t="s">
        <v>2826</v>
      </c>
      <c r="B26" s="89">
        <f>+Cs!B26+Fin!B26+Rat!B26+MM!B26+Lib!B26+Pry!B26+Hal!B26+Cem!B26+Par!B26+EDv!C25+Str!B26+Ele!B26+Wat!B26+San!B26+Ref!B26+Mayor!B26+CFO!B26+MB!B26+Infra!B26</f>
        <v>0</v>
      </c>
      <c r="C26" s="89">
        <f>+Cs!C26+Fin!C26+Rat!C26+MM!C26+Lib!C26+Pry!C26+Hal!C26+Cem!C26+Par!C26+EDv!D25+Str!C26+Ele!C26+Wat!C26+San!C26+Ref!C26+Mayor!C26+CFO!C26+MB!C26+Infra!C26</f>
        <v>0</v>
      </c>
      <c r="D26" s="89">
        <f>+Cs!D26+Fin!D26+Rat!D26+MM!D26+Lib!D26+Pry!D26+Hal!D26+Cem!D26+Par!D26+EDv!E25+Str!D26+Ele!D26+Wat!D26+San!D26+Ref!D26+Mayor!D26+CFO!D26+MB!D26+Infra!D26</f>
        <v>0</v>
      </c>
      <c r="E26" s="235">
        <f>+Cs!E26+Fin!E26+Rat!E26+MM!E26+Lib!E26+Pry!E26+Hal!E26+Cem!E26+Par!E26+EDv!F25+Str!E26+Ele!E26+Wat!E26+San!E26+Ref!E26+Mayor!E26+CFO!E26+MB!E26+Infra!E26</f>
        <v>-1000000</v>
      </c>
      <c r="F26" s="235">
        <f>+Cs!F26+Fin!F26+Rat!F26+MM!F26+Lib!F26+Pry!F26+Hal!F26+Cem!F26+Par!F26+EDv!G25+Str!F26+Ele!F26+Wat!F26+San!F26+Ref!F26+Mayor!F26+CFO!F26+MB!F26+Infra!F26</f>
        <v>0</v>
      </c>
      <c r="G26" s="89">
        <f>+Cs!G26+Fin!G26+Rat!G26+MM!G26+Lib!G26+Pry!G26+Hal!G26+Cem!G26+Par!G26+EDv!H25+Str!G26+Ele!G26+Wat!G26+San!G26+Ref!G26+Mayor!G26+CFO!G26+MB!G26+Infra!G26</f>
        <v>0</v>
      </c>
      <c r="H26" s="66" t="s">
        <v>3467</v>
      </c>
      <c r="I26" s="66" t="s">
        <v>3468</v>
      </c>
    </row>
    <row r="27" spans="1:11" x14ac:dyDescent="0.35">
      <c r="A27" s="66" t="s">
        <v>3001</v>
      </c>
      <c r="B27" s="89">
        <f>+Cs!B27+Fin!B27+Rat!B27+MM!B27+Lib!B27+Pry!B27+Hal!B27+Cem!B27+Par!B27+EDv!C26+Str!B27+Ele!B27+Wat!B27+San!B27+Ref!B27+Mayor!B27+CFO!B27+MB!B27+Infra!B27</f>
        <v>-2435000</v>
      </c>
      <c r="C27" s="89">
        <f>+Cs!C27+Fin!C27+Rat!C27+MM!C27+Lib!C27+Pry!C27+Hal!C27+Cem!C27+Par!C27+EDv!D26+Str!C27+Ele!C27+Wat!C27+San!C27+Ref!C27+Mayor!C27+CFO!C27+MB!C27+Infra!C27</f>
        <v>-2435000</v>
      </c>
      <c r="D27" s="89">
        <f>+Cs!D27+Fin!D27+Rat!D27+MM!D27+Lib!D27+Pry!D27+Hal!D27+Cem!D27+Par!D27+EDv!E26+Str!D27+Ele!D27+Wat!D27+San!D27+Ref!D27+Mayor!D27+CFO!D27+MB!D27+Infra!D27</f>
        <v>-2435000</v>
      </c>
      <c r="E27" s="235">
        <f>+Cs!E27+Fin!E27+Rat!E27+MM!E27+Lib!E27+Pry!E27+Hal!E27+Cem!E27+Par!E27+EDv!F26+Str!E27+Ele!E27+Wat!E27+San!E27+Ref!E27+Mayor!E27+CFO!E27+MB!E27+Infra!E27</f>
        <v>-2800000</v>
      </c>
      <c r="F27" s="235">
        <f>+Cs!F27+Fin!F27+Rat!F27+MM!F27+Lib!F27+Pry!F27+Hal!F27+Cem!F27+Par!F27+EDv!G26+Str!F27+Ele!F27+Wat!F27+San!F27+Ref!F27+Mayor!F27+CFO!F27+MB!F27+Infra!F27</f>
        <v>-2800000</v>
      </c>
      <c r="G27" s="235">
        <f>+Cs!G27+Fin!G27+Rat!G27+MM!G27+Lib!G27+Pry!G27+Hal!G27+Cem!G27+Par!G27+EDv!H26+Str!G27+Ele!G27+Wat!G27+San!G27+Ref!G27+Mayor!G27+CFO!G27+MB!G27+Infra!G27</f>
        <v>-2800000</v>
      </c>
      <c r="H27" s="66" t="s">
        <v>3467</v>
      </c>
      <c r="I27" s="66" t="s">
        <v>3468</v>
      </c>
      <c r="K27" s="113">
        <f>1667000/2</f>
        <v>833500</v>
      </c>
    </row>
    <row r="28" spans="1:11" x14ac:dyDescent="0.35">
      <c r="A28" s="66" t="s">
        <v>2974</v>
      </c>
      <c r="B28" s="89">
        <f>+Cs!B28+Fin!B28+Rat!B28+MM!B28+Lib!B28+Pry!B28+Hal!B28+Cem!B28+Par!B28+EDv!C27+Str!B28+Ele!B28+Wat!B28+San!B28+Ref!B28+Mayor!B28+CFO!B28+MB!B28+Infra!B28</f>
        <v>-200</v>
      </c>
      <c r="C28" s="89">
        <f>+Cs!C28+Fin!C28+Rat!C28+MM!C28+Lib!C28+Pry!C28+Hal!C28+Cem!C28+Par!C28+EDv!D27+Str!C28+Ele!C28+Wat!C28+San!C28+Ref!C28+Mayor!C28+CFO!C28+MB!C28+Infra!C28</f>
        <v>-200</v>
      </c>
      <c r="D28" s="89">
        <f>+Cs!D28+Fin!D28+Rat!D28+MM!D28+Lib!D28+Pry!D28+Hal!D28+Cem!D28+Par!D28+EDv!E27+Str!D28+Ele!D28+Wat!D28+San!D28+Ref!D28+Mayor!D28+CFO!D28+MB!D28+Infra!D28</f>
        <v>-149</v>
      </c>
      <c r="E28" s="235">
        <f>+Cs!E28+Fin!E28+Rat!E28+MM!E28+Lib!E28+Pry!E28+Hal!E28+Cem!E28+Par!E28+EDv!F27+Str!E28+Ele!E28+Wat!E28+San!E28+Ref!E28+Mayor!E28+CFO!E28+MB!E28+Infra!E28</f>
        <v>-200</v>
      </c>
      <c r="F28" s="235">
        <f>+Cs!F28+Fin!F28+Rat!F28+MM!F28+Lib!F28+Pry!F28+Hal!F28+Cem!F28+Par!F28+EDv!G27+Str!F28+Ele!F28+Wat!F28+San!F28+Ref!F28+Mayor!F28+CFO!F28+MB!F28+Infra!F28</f>
        <v>-200</v>
      </c>
      <c r="G28" s="235">
        <f>+Cs!G28+Fin!G28+Rat!G28+MM!G28+Lib!G28+Pry!G28+Hal!G28+Cem!G28+Par!G28+EDv!H27+Str!G28+Ele!G28+Wat!G28+San!G28+Ref!G28+Mayor!G28+CFO!G28+MB!G28+Infra!G28</f>
        <v>-400</v>
      </c>
      <c r="H28" s="66" t="s">
        <v>2707</v>
      </c>
      <c r="I28" s="66"/>
    </row>
    <row r="29" spans="1:11" x14ac:dyDescent="0.35">
      <c r="A29" s="66" t="s">
        <v>2836</v>
      </c>
      <c r="B29" s="89">
        <f>+Cs!B29+Fin!B29+Rat!B29+MM!B29+Lib!B29+Pry!B29+Hal!B29+Cem!B29+Par!B29+EDv!C28+Str!B29+Ele!B29+Wat!B29+San!B29+Ref!B29+Mayor!B29+CFO!B29+MB!B29+Infra!B29</f>
        <v>0</v>
      </c>
      <c r="C29" s="89">
        <f>+Cs!C29+Fin!C29+Rat!C29+MM!C29+Lib!C29+Pry!C29+Hal!C29+Cem!C29+Par!C29+EDv!D28+Str!C29+Ele!C29+Wat!C29+San!C29+Ref!C29+Mayor!C29+CFO!C29+MB!C29+Infra!C29</f>
        <v>0</v>
      </c>
      <c r="D29" s="89">
        <f>+Cs!D29+Fin!D29+Rat!D29+MM!D29+Lib!D29+Pry!D29+Hal!D29+Cem!D29+Par!D29+EDv!E28+Str!D29+Ele!D29+Wat!D29+San!D29+Ref!D29+Mayor!D29+CFO!D29+MB!D29+Infra!D29</f>
        <v>0</v>
      </c>
      <c r="E29" s="89">
        <f>+Cs!E29+Fin!E29+Rat!E29+MM!E29+Lib!E29+Pry!E29+Hal!E29+Cem!E29+Par!E29+EDv!F28+Str!E29+Ele!E29+Wat!E29+San!E29+Ref!E29+Mayor!E29+CFO!E29+MB!E29+Infra!E29</f>
        <v>0</v>
      </c>
      <c r="F29" s="89">
        <f>+Cs!F29+Fin!F29+Rat!F29+MM!F29+Lib!F29+Pry!F29+Hal!F29+Cem!F29+Par!F29+EDv!G28+Str!F29+Ele!F29+Wat!F29+San!F29+Ref!F29+Mayor!F29+CFO!F29+MB!F29+Infra!F29</f>
        <v>0</v>
      </c>
      <c r="G29" s="89">
        <f>+Cs!G29+Fin!G29+Rat!G29+MM!G29+Lib!G29+Pry!G29+Hal!G29+Cem!G29+Par!G29+EDv!H28+Str!G29+Ele!G29+Wat!G29+San!G29+Ref!G29+Mayor!G29+CFO!G29+MB!G29+Infra!G29</f>
        <v>0</v>
      </c>
      <c r="H29" s="66" t="s">
        <v>3469</v>
      </c>
      <c r="I29" s="66"/>
    </row>
    <row r="30" spans="1:11" x14ac:dyDescent="0.35">
      <c r="A30" s="66" t="s">
        <v>3002</v>
      </c>
      <c r="B30" s="89">
        <f>+Cs!B30+Fin!B30+Rat!B30+MM!B30+Lib!B30+Pry!B30+Hal!B30+Cem!B30+Par!B30+EDv!C29+Str!B30+Ele!B30+Wat!B30+San!B30+Ref!B30+Mayor!B30+CFO!B30+MB!B30+Infra!B30</f>
        <v>-600</v>
      </c>
      <c r="C30" s="89">
        <f>+Cs!C30+Fin!C30+Rat!C30+MM!C30+Lib!C30+Pry!C30+Hal!C30+Cem!C30+Par!C30+EDv!D29+Str!C30+Ele!C30+Wat!C30+San!C30+Ref!C30+Mayor!C30+CFO!C30+MB!C30+Infra!C30</f>
        <v>-600</v>
      </c>
      <c r="D30" s="89">
        <f>+Cs!D30+Fin!D30+Rat!D30+MM!D30+Lib!D30+Pry!D30+Hal!D30+Cem!D30+Par!D30+EDv!E29+Str!D30+Ele!D30+Wat!D30+San!D30+Ref!D30+Mayor!D30+CFO!D30+MB!D30+Infra!D30</f>
        <v>-1800</v>
      </c>
      <c r="E30" s="235">
        <f>+Cs!E30+Fin!E30+Rat!E30+MM!E30+Lib!E30+Pry!E30+Hal!E30+Cem!E30+Par!E30+EDv!F29+Str!E30+Ele!E30+Wat!E30+San!E30+Ref!E30+Mayor!E30+CFO!E30+MB!E30+Infra!E30</f>
        <v>-2000</v>
      </c>
      <c r="F30" s="235">
        <f>+Cs!F30+Fin!F30+Rat!F30+MM!F30+Lib!F30+Pry!F30+Hal!F30+Cem!F30+Par!F30+EDv!G29+Str!F30+Ele!F30+Wat!F30+San!F30+Ref!F30+Mayor!F30+CFO!F30+MB!F30+Infra!F30</f>
        <v>-2000</v>
      </c>
      <c r="G30" s="235">
        <f>+Cs!G30+Fin!G30+Rat!G30+MM!G30+Lib!G30+Pry!G30+Hal!G30+Cem!G30+Par!G30+EDv!H29+Str!G30+Ele!G30+Wat!G30+San!G30+Ref!G30+Mayor!G30+CFO!G30+MB!G30+Infra!G30</f>
        <v>-2000</v>
      </c>
      <c r="H30" s="66" t="s">
        <v>3465</v>
      </c>
      <c r="I30" s="66" t="s">
        <v>2622</v>
      </c>
    </row>
    <row r="31" spans="1:11" x14ac:dyDescent="0.35">
      <c r="A31" s="66" t="s">
        <v>2899</v>
      </c>
      <c r="B31" s="89">
        <f>+Cs!B31+Fin!B31+Rat!B31+MM!B31+Lib!B31+Pry!B31+Hal!B31+Cem!B31+Par!B31+EDv!C30+Str!B31+Ele!B31+Wat!B31+San!B31+Ref!B31+Mayor!B31+CFO!B31+MB!B31+Infra!B31</f>
        <v>-17400</v>
      </c>
      <c r="C31" s="89">
        <f>+Cs!C31+Fin!C31+Rat!C31+MM!C31+Lib!C31+Pry!C31+Hal!C31+Cem!C31+Par!C31+EDv!D30+Str!C31+Ele!C31+Wat!C31+San!C31+Ref!C31+Mayor!C31+CFO!C31+MB!C31+Infra!C31</f>
        <v>-17400</v>
      </c>
      <c r="D31" s="89">
        <f>+Cs!D31+Fin!D31+Rat!D31+MM!D31+Lib!D31+Pry!D31+Hal!D31+Cem!D31+Par!D31+EDv!E30+Str!D31+Ele!D31+Wat!D31+San!D31+Ref!D31+Mayor!D31+CFO!D31+MB!D31+Infra!D31</f>
        <v>-16000</v>
      </c>
      <c r="E31" s="235">
        <f>+Cs!E31+Fin!E31+Rat!E31+MM!E31+Lib!E31+Pry!E31+Hal!E31+Cem!E31+Par!E31+EDv!F30+Str!E31+Ele!E31+Wat!E31+San!E31+Ref!E31+Mayor!E31+CFO!E31+MB!E31+Infra!E31</f>
        <v>-17400</v>
      </c>
      <c r="F31" s="235">
        <f>+Cs!F31+Fin!F31+Rat!F31+MM!F31+Lib!F31+Pry!F31+Hal!F31+Cem!F31+Par!F31+EDv!G30+Str!F31+Ele!F31+Wat!F31+San!F31+Ref!F31+Mayor!F31+CFO!F31+MB!F31+Infra!F31</f>
        <v>-18400</v>
      </c>
      <c r="G31" s="235">
        <f>+Cs!G31+Fin!G31+Rat!G31+MM!G31+Lib!G31+Pry!G31+Hal!G31+Cem!G31+Par!G31+EDv!H30+Str!G31+Ele!G31+Wat!G31+San!G31+Ref!G31+Mayor!G31+CFO!G31+MB!G31+Infra!G31</f>
        <v>-19400</v>
      </c>
      <c r="H31" s="66" t="s">
        <v>2716</v>
      </c>
      <c r="I31" s="66"/>
    </row>
    <row r="32" spans="1:11" x14ac:dyDescent="0.35">
      <c r="A32" s="66" t="s">
        <v>3539</v>
      </c>
      <c r="B32" s="89">
        <f>+Cs!B32+Fin!B32+Rat!B32+MM!B32+Lib!B32+Pry!B32+Hal!B32+Cem!B32+Par!B32+EDv!C31+Str!B32+Ele!B32+Wat!B32+San!B32+Ref!B32+Mayor!B32+CFO!B32+MB!B32+Infra!B32</f>
        <v>598400</v>
      </c>
      <c r="C32" s="89">
        <f>+Cs!C32+Fin!C32+Rat!C32+MM!C32+Lib!C32+Pry!C32+Hal!C32+Cem!C32+Par!C32+EDv!D31+Str!C32+Ele!C32+Wat!C32+San!C32+Ref!C32+Mayor!C32+CFO!C32+MB!C32+Infra!C32</f>
        <v>598400</v>
      </c>
      <c r="D32" s="89">
        <f>+Cs!D32+Fin!D32+Rat!D32+MM!D32+Lib!D32+Pry!D32+Hal!D32+Cem!D32+Par!D32+EDv!E31+Str!D32+Ele!D32+Wat!D32+San!D32+Ref!D32+Mayor!D32+CFO!D32+MB!D32+Infra!D32</f>
        <v>340554.47</v>
      </c>
      <c r="E32" s="235">
        <f>+Cs!E32+Fin!E32+Rat!E32+MM!E32+Lib!E32+Pry!E32+Hal!E32+Cem!E32+Par!E32+EDv!F31+Str!E32+Ele!E32+Wat!E32+San!E32+Ref!E32+Mayor!E32+CFO!E32+MB!E32+Infra!E32</f>
        <v>364100</v>
      </c>
      <c r="F32" s="235">
        <f>+Cs!F32+Fin!F32+Rat!F32+MM!F32+Lib!F32+Pry!F32+Hal!F32+Cem!F32+Par!F32+EDv!G31+Str!F32+Ele!F32+Wat!F32+San!F32+Ref!F32+Mayor!F32+CFO!F32+MB!F32+Infra!F32</f>
        <v>380900</v>
      </c>
      <c r="G32" s="235">
        <f>+Cs!G32+Fin!G32+Rat!G32+MM!G32+Lib!G32+Pry!G32+Hal!G32+Cem!G32+Par!G32+EDv!H31+Str!G32+Ele!G32+Wat!G32+San!G32+Ref!G32+Mayor!G32+CFO!G32+MB!G32+Infra!G32</f>
        <v>398500</v>
      </c>
      <c r="H32" s="66" t="s">
        <v>3465</v>
      </c>
      <c r="I32" s="66" t="s">
        <v>2619</v>
      </c>
    </row>
    <row r="33" spans="1:9" x14ac:dyDescent="0.35">
      <c r="A33" s="66" t="s">
        <v>3540</v>
      </c>
      <c r="B33" s="89">
        <f>+Cs!B33+Fin!B33+Rat!B33+MM!B33+Lib!B33+Pry!B33+Hal!B33+Cem!B33+Par!B33+EDv!C32+Str!B33+Ele!B33+Wat!B33+San!B33+Ref!B33+Mayor!B33+CFO!B33+MB!B33+Infra!B33</f>
        <v>0</v>
      </c>
      <c r="C33" s="89">
        <f>+Cs!C33+Fin!C33+Rat!C33+MM!C33+Lib!C33+Pry!C33+Hal!C33+Cem!C33+Par!C33+EDv!D32+Str!C33+Ele!C33+Wat!C33+San!C33+Ref!C33+Mayor!C33+CFO!C33+MB!C33+Infra!C33</f>
        <v>0</v>
      </c>
      <c r="D33" s="89">
        <f>+Cs!D33+Fin!D33+Rat!D33+MM!D33+Lib!D33+Pry!D33+Hal!D33+Cem!D33+Par!D33+EDv!E32+Str!D33+Ele!D33+Wat!D33+San!D33+Ref!D33+Mayor!D33+CFO!D33+MB!D33+Infra!D33</f>
        <v>10960.79</v>
      </c>
      <c r="E33" s="235">
        <f>+Cs!E33+Fin!E33+Rat!E33+MM!E33+Lib!E33+Pry!E33+Hal!E33+Cem!E33+Par!E33+EDv!F32+Str!E33+Ele!E33+Wat!E33+San!E33+Ref!E33+Mayor!E33+CFO!E33+MB!E33+Infra!E33</f>
        <v>11800</v>
      </c>
      <c r="F33" s="235">
        <f>+Cs!F33+Fin!F33+Rat!F33+MM!F33+Lib!F33+Pry!F33+Hal!F33+Cem!F33+Par!F33+EDv!G32+Str!F33+Ele!F33+Wat!F33+San!F33+Ref!F33+Mayor!F33+CFO!F33+MB!F33+Infra!F33</f>
        <v>12400</v>
      </c>
      <c r="G33" s="235">
        <f>+Cs!G33+Fin!G33+Rat!G33+MM!G33+Lib!G33+Pry!G33+Hal!G33+Cem!G33+Par!G33+EDv!H32+Str!G33+Ele!G33+Wat!G33+San!G33+Ref!G33+Mayor!G33+CFO!G33+MB!G33+Infra!G33</f>
        <v>13000</v>
      </c>
      <c r="H33" s="66" t="s">
        <v>3465</v>
      </c>
      <c r="I33" s="66" t="s">
        <v>2619</v>
      </c>
    </row>
    <row r="34" spans="1:9" x14ac:dyDescent="0.35">
      <c r="A34" s="66" t="s">
        <v>3541</v>
      </c>
      <c r="B34" s="89">
        <f>+Cs!B34+Fin!B34+Rat!B34+MM!B34+Lib!B34+Pry!B34+Hal!B34+Cem!B34+Par!B34+EDv!C33+Str!B34+Ele!B34+Wat!B34+San!B34+Ref!B34+Mayor!B34+CFO!B34+MB!B34+Infra!B34</f>
        <v>0</v>
      </c>
      <c r="C34" s="89">
        <f>+Cs!C34+Fin!C34+Rat!C34+MM!C34+Lib!C34+Pry!C34+Hal!C34+Cem!C34+Par!C34+EDv!D33+Str!C34+Ele!C34+Wat!C34+San!C34+Ref!C34+Mayor!C34+CFO!C34+MB!C34+Infra!C34</f>
        <v>0</v>
      </c>
      <c r="D34" s="89">
        <f>+Cs!D34+Fin!D34+Rat!D34+MM!D34+Lib!D34+Pry!D34+Hal!D34+Cem!D34+Par!D34+EDv!E33+Str!D34+Ele!D34+Wat!D34+San!D34+Ref!D34+Mayor!D34+CFO!D34+MB!D34+Infra!D34</f>
        <v>15604.17</v>
      </c>
      <c r="E34" s="235">
        <f>+Cs!E34+Fin!E34+Rat!E34+MM!E34+Lib!E34+Pry!E34+Hal!E34+Cem!E34+Par!E34+EDv!F33+Str!E34+Ele!E34+Wat!E34+San!E34+Ref!E34+Mayor!E34+CFO!E34+MB!E34+Infra!E34</f>
        <v>16700</v>
      </c>
      <c r="F34" s="235">
        <f>+Cs!F34+Fin!F34+Rat!F34+MM!F34+Lib!F34+Pry!F34+Hal!F34+Cem!F34+Par!F34+EDv!G33+Str!F34+Ele!F34+Wat!F34+San!F34+Ref!F34+Mayor!F34+CFO!F34+MB!F34+Infra!F34</f>
        <v>17500</v>
      </c>
      <c r="G34" s="235">
        <f>+Cs!G34+Fin!G34+Rat!G34+MM!G34+Lib!G34+Pry!G34+Hal!G34+Cem!G34+Par!G34+EDv!H33+Str!G34+Ele!G34+Wat!G34+San!G34+Ref!G34+Mayor!G34+CFO!G34+MB!G34+Infra!G34</f>
        <v>18400</v>
      </c>
      <c r="H34" s="66" t="s">
        <v>3465</v>
      </c>
      <c r="I34" s="66" t="s">
        <v>2619</v>
      </c>
    </row>
    <row r="35" spans="1:9" x14ac:dyDescent="0.35">
      <c r="A35" s="66" t="s">
        <v>3542</v>
      </c>
      <c r="B35" s="89">
        <f>+Cs!B35+Fin!B35+Rat!B35+MM!B35+Lib!B35+Pry!B35+Hal!B35+Cem!B35+Par!B35+EDv!C34+Str!B35+Ele!B35+Wat!B35+San!B35+Ref!B35+Mayor!B35+CFO!B35+MB!B35+Infra!B35</f>
        <v>0</v>
      </c>
      <c r="C35" s="89">
        <f>+Cs!C35+Fin!C35+Rat!C35+MM!C35+Lib!C35+Pry!C35+Hal!C35+Cem!C35+Par!C35+EDv!D34+Str!C35+Ele!C35+Wat!C35+San!C35+Ref!C35+Mayor!C35+CFO!C35+MB!C35+Infra!C35</f>
        <v>0</v>
      </c>
      <c r="D35" s="89">
        <f>+Cs!D35+Fin!D35+Rat!D35+MM!D35+Lib!D35+Pry!D35+Hal!D35+Cem!D35+Par!D35+EDv!E34+Str!D35+Ele!D35+Wat!D35+San!D35+Ref!D35+Mayor!D35+CFO!D35+MB!D35+Infra!D35</f>
        <v>11283.3</v>
      </c>
      <c r="E35" s="235">
        <f>+Cs!E35+Fin!E35+Rat!E35+MM!E35+Lib!E35+Pry!E35+Hal!E35+Cem!E35+Par!E35+EDv!F34+Str!E35+Ele!E35+Wat!E35+San!E35+Ref!E35+Mayor!E35+CFO!E35+MB!E35+Infra!E35</f>
        <v>12100</v>
      </c>
      <c r="F35" s="235">
        <f>+Cs!F35+Fin!F35+Rat!F35+MM!F35+Lib!F35+Pry!F35+Hal!F35+Cem!F35+Par!F35+EDv!G34+Str!F35+Ele!F35+Wat!F35+San!F35+Ref!F35+Mayor!F35+CFO!F35+MB!F35+Infra!F35</f>
        <v>12700</v>
      </c>
      <c r="G35" s="235">
        <f>+Cs!G35+Fin!G35+Rat!G35+MM!G35+Lib!G35+Pry!G35+Hal!G35+Cem!G35+Par!G35+EDv!H34+Str!G35+Ele!G35+Wat!G35+San!G35+Ref!G35+Mayor!G35+CFO!G35+MB!G35+Infra!G35</f>
        <v>13300</v>
      </c>
      <c r="H35" s="66" t="s">
        <v>3465</v>
      </c>
      <c r="I35" s="66" t="s">
        <v>2619</v>
      </c>
    </row>
    <row r="36" spans="1:9" x14ac:dyDescent="0.35">
      <c r="A36" s="66" t="s">
        <v>3543</v>
      </c>
      <c r="B36" s="89">
        <f>+Cs!B36+Fin!B36+Rat!B36+MM!B36+Lib!B36+Pry!B36+Hal!B36+Cem!B36+Par!B36+EDv!C35+Str!B36+Ele!B36+Wat!B36+San!B36+Ref!B36+Mayor!B36+CFO!B36+MB!B36+Infra!B36</f>
        <v>0</v>
      </c>
      <c r="C36" s="89">
        <f>+Cs!C36+Fin!C36+Rat!C36+MM!C36+Lib!C36+Pry!C36+Hal!C36+Cem!C36+Par!C36+EDv!D35+Str!C36+Ele!C36+Wat!C36+San!C36+Ref!C36+Mayor!C36+CFO!C36+MB!C36+Infra!C36</f>
        <v>0</v>
      </c>
      <c r="D36" s="89">
        <f>+Cs!D36+Fin!D36+Rat!D36+MM!D36+Lib!D36+Pry!D36+Hal!D36+Cem!D36+Par!D36+EDv!E35+Str!D36+Ele!D36+Wat!D36+San!D36+Ref!D36+Mayor!D36+CFO!D36+MB!D36+Infra!D36</f>
        <v>23412.69</v>
      </c>
      <c r="E36" s="235">
        <f>+Cs!E36+Fin!E36+Rat!E36+MM!E36+Lib!E36+Pry!E36+Hal!E36+Cem!E36+Par!E36+EDv!F35+Str!E36+Ele!E36+Wat!E36+San!E36+Ref!E36+Mayor!E36+CFO!E36+MB!E36+Infra!E36</f>
        <v>25100</v>
      </c>
      <c r="F36" s="235">
        <f>+Cs!F36+Fin!F36+Rat!F36+MM!F36+Lib!F36+Pry!F36+Hal!F36+Cem!F36+Par!F36+EDv!G35+Str!F36+Ele!F36+Wat!F36+San!F36+Ref!F36+Mayor!F36+CFO!F36+MB!F36+Infra!F36</f>
        <v>26300</v>
      </c>
      <c r="G36" s="235">
        <f>+Cs!G36+Fin!G36+Rat!G36+MM!G36+Lib!G36+Pry!G36+Hal!G36+Cem!G36+Par!G36+EDv!H35+Str!G36+Ele!G36+Wat!G36+San!G36+Ref!G36+Mayor!G36+CFO!G36+MB!G36+Infra!G36</f>
        <v>27600</v>
      </c>
      <c r="H36" s="66" t="s">
        <v>3465</v>
      </c>
      <c r="I36" s="66" t="s">
        <v>2619</v>
      </c>
    </row>
    <row r="37" spans="1:9" x14ac:dyDescent="0.35">
      <c r="A37" s="66" t="s">
        <v>3544</v>
      </c>
      <c r="B37" s="89">
        <f>+Cs!B37+Fin!B37+Rat!B37+MM!B37+Lib!B37+Pry!B37+Hal!B37+Cem!B37+Par!B37+EDv!C36+Str!B37+Ele!B37+Wat!B37+San!B37+Ref!B37+Mayor!B37+CFO!B37+MB!B37+Infra!B37</f>
        <v>0</v>
      </c>
      <c r="C37" s="89">
        <f>+Cs!C37+Fin!C37+Rat!C37+MM!C37+Lib!C37+Pry!C37+Hal!C37+Cem!C37+Par!C37+EDv!D36+Str!C37+Ele!C37+Wat!C37+San!C37+Ref!C37+Mayor!C37+CFO!C37+MB!C37+Infra!C37</f>
        <v>0</v>
      </c>
      <c r="D37" s="89">
        <f>+Cs!D37+Fin!D37+Rat!D37+MM!D37+Lib!D37+Pry!D37+Hal!D37+Cem!D37+Par!D37+EDv!E36+Str!D37+Ele!D37+Wat!D37+San!D37+Ref!D37+Mayor!D37+CFO!D37+MB!D37+Infra!D37</f>
        <v>0</v>
      </c>
      <c r="E37" s="235">
        <f>+Cs!E37+Fin!E37+Rat!E37+MM!E37+Lib!E37+Pry!E37+Hal!E37+Cem!E37+Par!E37+EDv!F36+Str!E37+Ele!E37+Wat!E37+San!E37+Ref!E37+Mayor!E37+CFO!E37+MB!E37+Infra!E37</f>
        <v>0</v>
      </c>
      <c r="F37" s="235">
        <f>+Cs!F37+Fin!F37+Rat!F37+MM!F37+Lib!F37+Pry!F37+Hal!F37+Cem!F37+Par!F37+EDv!G36+Str!F37+Ele!F37+Wat!F37+San!F37+Ref!F37+Mayor!F37+CFO!F37+MB!F37+Infra!F37</f>
        <v>0</v>
      </c>
      <c r="G37" s="235">
        <f>+Cs!G37+Fin!G37+Rat!G37+MM!G37+Lib!G37+Pry!G37+Hal!G37+Cem!G37+Par!G37+EDv!H36+Str!G37+Ele!G37+Wat!G37+San!G37+Ref!G37+Mayor!G37+CFO!G37+MB!G37+Infra!G37</f>
        <v>0</v>
      </c>
      <c r="H37" s="66" t="s">
        <v>3465</v>
      </c>
      <c r="I37" s="66" t="s">
        <v>2619</v>
      </c>
    </row>
    <row r="38" spans="1:9" x14ac:dyDescent="0.35">
      <c r="A38" s="66" t="s">
        <v>3545</v>
      </c>
      <c r="B38" s="89">
        <f>+Cs!B38+Fin!B38+Rat!B38+MM!B38+Lib!B38+Pry!B38+Hal!B38+Cem!B38+Par!B38+EDv!C37+Str!B38+Ele!B38+Wat!B38+San!B38+Ref!B38+Mayor!B38+CFO!B38+MB!B38+Infra!B38</f>
        <v>0</v>
      </c>
      <c r="C38" s="89">
        <f>+Cs!C38+Fin!C38+Rat!C38+MM!C38+Lib!C38+Pry!C38+Hal!C38+Cem!C38+Par!C38+EDv!D37+Str!C38+Ele!C38+Wat!C38+San!C38+Ref!C38+Mayor!C38+CFO!C38+MB!C38+Infra!C38</f>
        <v>0</v>
      </c>
      <c r="D38" s="89">
        <f>+Cs!D38+Fin!D38+Rat!D38+MM!D38+Lib!D38+Pry!D38+Hal!D38+Cem!D38+Par!D38+EDv!E37+Str!D38+Ele!D38+Wat!D38+San!D38+Ref!D38+Mayor!D38+CFO!D38+MB!D38+Infra!D38</f>
        <v>11610.38</v>
      </c>
      <c r="E38" s="235">
        <f>+Cs!E38+Fin!E38+Rat!E38+MM!E38+Lib!E38+Pry!E38+Hal!E38+Cem!E38+Par!E38+EDv!F37+Str!E38+Ele!E38+Wat!E38+San!E38+Ref!E38+Mayor!E38+CFO!E38+MB!E38+Infra!E38</f>
        <v>12500</v>
      </c>
      <c r="F38" s="235">
        <f>+Cs!F38+Fin!F38+Rat!F38+MM!F38+Lib!F38+Pry!F38+Hal!F38+Cem!F38+Par!F38+EDv!G37+Str!F38+Ele!F38+Wat!F38+San!F38+Ref!F38+Mayor!F38+CFO!F38+MB!F38+Infra!F38</f>
        <v>13100</v>
      </c>
      <c r="G38" s="235">
        <f>+Cs!G38+Fin!G38+Rat!G38+MM!G38+Lib!G38+Pry!G38+Hal!G38+Cem!G38+Par!G38+EDv!H37+Str!G38+Ele!G38+Wat!G38+San!G38+Ref!G38+Mayor!G38+CFO!G38+MB!G38+Infra!G38</f>
        <v>13800</v>
      </c>
      <c r="H38" s="66" t="s">
        <v>3465</v>
      </c>
      <c r="I38" s="66" t="s">
        <v>2619</v>
      </c>
    </row>
    <row r="39" spans="1:9" x14ac:dyDescent="0.35">
      <c r="A39" s="66" t="s">
        <v>2957</v>
      </c>
      <c r="B39" s="89">
        <f>+Cs!B39+Fin!B39+Rat!B39+MM!B39+Lib!B39+Pry!B39+Hal!B39+Cem!B39+Par!B39+EDv!C38+Str!B39+Ele!B39+Wat!B39+San!B39+Ref!B39+Mayor!B39+CFO!B39+MB!B39+Infra!B39</f>
        <v>567000</v>
      </c>
      <c r="C39" s="89">
        <f>+Cs!C39+Fin!C39+Rat!C39+MM!C39+Lib!C39+Pry!C39+Hal!C39+Cem!C39+Par!C39+EDv!D38+Str!C39+Ele!C39+Wat!C39+San!C39+Ref!C39+Mayor!C39+CFO!C39+MB!C39+Infra!C39</f>
        <v>567000</v>
      </c>
      <c r="D39" s="89">
        <f>+Cs!D39+Fin!D39+Rat!D39+MM!D39+Lib!D39+Pry!D39+Hal!D39+Cem!D39+Par!D39+EDv!E38+Str!D39+Ele!D39+Wat!D39+San!D39+Ref!D39+Mayor!D39+CFO!D39+MB!D39+Infra!D39</f>
        <v>320463.90999999997</v>
      </c>
      <c r="E39" s="235">
        <f>+Cs!E39+Fin!E39+Rat!E39+MM!E39+Lib!E39+Pry!E39+Hal!E39+Cem!E39+Par!E39+EDv!F38+Str!E39+Ele!E39+Wat!E39+San!E39+Ref!E39+Mayor!E39+CFO!E39+MB!E39+Infra!E39</f>
        <v>334900</v>
      </c>
      <c r="F39" s="235">
        <f>+Cs!F39+Fin!F39+Rat!F39+MM!F39+Lib!F39+Pry!F39+Hal!F39+Cem!F39+Par!F39+EDv!G38+Str!F39+Ele!F39+Wat!F39+San!F39+Ref!F39+Mayor!F39+CFO!F39+MB!F39+Infra!F39</f>
        <v>350300</v>
      </c>
      <c r="G39" s="235">
        <f>+Cs!G39+Fin!G39+Rat!G39+MM!G39+Lib!G39+Pry!G39+Hal!G39+Cem!G39+Par!G39+EDv!H38+Str!G39+Ele!G39+Wat!G39+San!G39+Ref!G39+Mayor!G39+CFO!G39+MB!G39+Infra!G39</f>
        <v>366500</v>
      </c>
      <c r="H39" s="66" t="s">
        <v>3139</v>
      </c>
      <c r="I39" s="66"/>
    </row>
    <row r="40" spans="1:9" x14ac:dyDescent="0.35">
      <c r="A40" s="66" t="s">
        <v>3518</v>
      </c>
      <c r="B40" s="89">
        <f>+Cs!B40+Fin!B40+Rat!B40+MM!B40+Lib!B40+Pry!B40+Hal!B40+Cem!B40+Par!B40+EDv!C39+Str!B40+Ele!B40+Wat!B40+San!B40+Ref!B40+Mayor!B40+CFO!B40+MB!B40+Infra!B40</f>
        <v>1082500</v>
      </c>
      <c r="C40" s="89">
        <f>+Cs!C40+Fin!C40+Rat!C40+MM!C40+Lib!C40+Pry!C40+Hal!C40+Cem!C40+Par!C40+EDv!D39+Str!C40+Ele!C40+Wat!C40+San!C40+Ref!C40+Mayor!C40+CFO!C40+MB!C40+Infra!C40</f>
        <v>1082500</v>
      </c>
      <c r="D40" s="89">
        <f>+Cs!D40+Fin!D40+Rat!D40+MM!D40+Lib!D40+Pry!D40+Hal!D40+Cem!D40+Par!D40+EDv!E39+Str!D40+Ele!D40+Wat!D40+San!D40+Ref!D40+Mayor!D40+CFO!D40+MB!D40+Infra!D40</f>
        <v>1151560.8500000001</v>
      </c>
      <c r="E40" s="235">
        <f>+Cs!E40+Fin!E40+Rat!E40+MM!E40+Lib!E40+Pry!E40+Hal!E40+Cem!E40+Par!E40+EDv!F39+Str!E40+Ele!E40+Wat!E40+San!E40+Ref!E40+Mayor!E40+CFO!E40+MB!E40+Infra!E40</f>
        <v>1203400</v>
      </c>
      <c r="F40" s="235">
        <f>+Cs!F40+Fin!F40+Rat!F40+MM!F40+Lib!F40+Pry!F40+Hal!F40+Cem!F40+Par!F40+EDv!G39+Str!F40+Ele!F40+Wat!F40+San!F40+Ref!F40+Mayor!F40+CFO!F40+MB!F40+Infra!F40</f>
        <v>1258800</v>
      </c>
      <c r="G40" s="235">
        <f>+Cs!G40+Fin!G40+Rat!G40+MM!G40+Lib!G40+Pry!G40+Hal!G40+Cem!G40+Par!G40+EDv!H39+Str!G40+Ele!G40+Wat!G40+San!G40+Ref!G40+Mayor!G40+CFO!G40+MB!G40+Infra!G40</f>
        <v>1316800</v>
      </c>
      <c r="H40" s="66" t="s">
        <v>3465</v>
      </c>
      <c r="I40" s="66" t="s">
        <v>2622</v>
      </c>
    </row>
    <row r="41" spans="1:9" x14ac:dyDescent="0.35">
      <c r="A41" s="66" t="s">
        <v>3517</v>
      </c>
      <c r="B41" s="89">
        <f>+Cs!B41+Fin!B41+Rat!B41+MM!B41+Lib!B41+Pry!B41+Hal!B41+Cem!B41+Par!B41+EDv!C40+Str!B41+Ele!B41+Wat!B41+San!B41+Ref!B41+Mayor!B41+CFO!B41+MB!B41+Infra!B41</f>
        <v>0</v>
      </c>
      <c r="C41" s="89">
        <f>+Cs!C41+Fin!C41+Rat!C41+MM!C41+Lib!C41+Pry!C41+Hal!C41+Cem!C41+Par!C41+EDv!D40+Str!C41+Ele!C41+Wat!C41+San!C41+Ref!C41+Mayor!C41+CFO!C41+MB!C41+Infra!C41</f>
        <v>0</v>
      </c>
      <c r="D41" s="89">
        <f>+Cs!D41+Fin!D41+Rat!D41+MM!D41+Lib!D41+Pry!D41+Hal!D41+Cem!D41+Par!D41+EDv!E40+Str!D41+Ele!D41+Wat!D41+San!D41+Ref!D41+Mayor!D41+CFO!D41+MB!D41+Infra!D41</f>
        <v>1105.28</v>
      </c>
      <c r="E41" s="235">
        <f>+Cs!E41+Fin!E41+Rat!E41+MM!E41+Lib!E41+Pry!E41+Hal!E41+Cem!E41+Par!E41+EDv!F40+Str!E41+Ele!E41+Wat!E41+San!E41+Ref!E41+Mayor!E41+CFO!E41+MB!E41+Infra!E41</f>
        <v>1200</v>
      </c>
      <c r="F41" s="235">
        <f>+Cs!F41+Fin!F41+Rat!F41+MM!F41+Lib!F41+Pry!F41+Hal!F41+Cem!F41+Par!F41+EDv!G40+Str!F41+Ele!F41+Wat!F41+San!F41+Ref!F41+Mayor!F41+CFO!F41+MB!F41+Infra!F41</f>
        <v>1300</v>
      </c>
      <c r="G41" s="235">
        <f>+Cs!G41+Fin!G41+Rat!G41+MM!G41+Lib!G41+Pry!G41+Hal!G41+Cem!G41+Par!G41+EDv!H40+Str!G41+Ele!G41+Wat!G41+San!G41+Ref!G41+Mayor!G41+CFO!G41+MB!G41+Infra!G41</f>
        <v>1300</v>
      </c>
      <c r="H41" s="66" t="s">
        <v>3465</v>
      </c>
      <c r="I41" s="66" t="s">
        <v>2622</v>
      </c>
    </row>
    <row r="42" spans="1:9" x14ac:dyDescent="0.35">
      <c r="A42" s="66" t="s">
        <v>3519</v>
      </c>
      <c r="B42" s="89">
        <f>+Cs!B42+Fin!B42+Rat!B42+MM!B42+Lib!B42+Pry!B42+Hal!B42+Cem!B42+Par!B42+EDv!C41+Str!B42+Ele!B42+Wat!B42+San!B42+Ref!B42+Mayor!B42+CFO!B42+MB!B42+Infra!B42</f>
        <v>1179300</v>
      </c>
      <c r="C42" s="89">
        <f>+Cs!C42+Fin!C42+Rat!C42+MM!C42+Lib!C42+Pry!C42+Hal!C42+Cem!C42+Par!C42+EDv!D41+Str!C42+Ele!C42+Wat!C42+San!C42+Ref!C42+Mayor!C42+CFO!C42+MB!C42+Infra!C42</f>
        <v>1179300</v>
      </c>
      <c r="D42" s="89">
        <f>+Cs!D42+Fin!D42+Rat!D42+MM!D42+Lib!D42+Pry!D42+Hal!D42+Cem!D42+Par!D42+EDv!E41+Str!D42+Ele!D42+Wat!D42+San!D42+Ref!D42+Mayor!D42+CFO!D42+MB!D42+Infra!D42</f>
        <v>1201973.82</v>
      </c>
      <c r="E42" s="235">
        <f>+Cs!E42+Fin!E42+Rat!E42+MM!E42+Lib!E42+Pry!E42+Hal!E42+Cem!E42+Par!E42+EDv!F41+Str!E42+Ele!E42+Wat!E42+San!E42+Ref!E42+Mayor!E42+CFO!E42+MB!E42+Infra!E42</f>
        <v>1256100</v>
      </c>
      <c r="F42" s="235">
        <f>+Cs!F42+Fin!F42+Rat!F42+MM!F42+Lib!F42+Pry!F42+Hal!F42+Cem!F42+Par!F42+EDv!G41+Str!F42+Ele!F42+Wat!F42+San!F42+Ref!F42+Mayor!F42+CFO!F42+MB!F42+Infra!F42</f>
        <v>1313900</v>
      </c>
      <c r="G42" s="235">
        <f>+Cs!G42+Fin!G42+Rat!G42+MM!G42+Lib!G42+Pry!G42+Hal!G42+Cem!G42+Par!G42+EDv!H41+Str!G42+Ele!G42+Wat!G42+San!G42+Ref!G42+Mayor!G42+CFO!G42+MB!G42+Infra!G42</f>
        <v>1374400</v>
      </c>
      <c r="H42" s="66" t="s">
        <v>3465</v>
      </c>
      <c r="I42" s="66" t="s">
        <v>2621</v>
      </c>
    </row>
    <row r="43" spans="1:9" x14ac:dyDescent="0.35">
      <c r="A43" s="66" t="s">
        <v>3520</v>
      </c>
      <c r="B43" s="89">
        <f>+Cs!B43+Fin!B43+Rat!B43+MM!B43+Lib!B43+Pry!B43+Hal!B43+Cem!B43+Par!B43+EDv!C42+Str!B43+Ele!B43+Wat!B43+San!B43+Ref!B43+Mayor!B43+CFO!B43+MB!B43+Infra!B43</f>
        <v>0</v>
      </c>
      <c r="C43" s="89">
        <f>+Cs!C43+Fin!C43+Rat!C43+MM!C43+Lib!C43+Pry!C43+Hal!C43+Cem!C43+Par!C43+EDv!D42+Str!C43+Ele!C43+Wat!C43+San!C43+Ref!C43+Mayor!C43+CFO!C43+MB!C43+Infra!C43</f>
        <v>0</v>
      </c>
      <c r="D43" s="89">
        <f>+Cs!D43+Fin!D43+Rat!D43+MM!D43+Lib!D43+Pry!D43+Hal!D43+Cem!D43+Par!D43+EDv!E42+Str!D43+Ele!D43+Wat!D43+San!D43+Ref!D43+Mayor!D43+CFO!D43+MB!D43+Infra!D43</f>
        <v>8113.49</v>
      </c>
      <c r="E43" s="235">
        <f>+Cs!E43+Fin!E43+Rat!E43+MM!E43+Lib!E43+Pry!E43+Hal!E43+Cem!E43+Par!E43+EDv!F42+Str!E43+Ele!E43+Wat!E43+San!E43+Ref!E43+Mayor!E43+CFO!E43+MB!E43+Infra!E43</f>
        <v>8500</v>
      </c>
      <c r="F43" s="235">
        <f>+Cs!F43+Fin!F43+Rat!F43+MM!F43+Lib!F43+Pry!F43+Hal!F43+Cem!F43+Par!F43+EDv!G42+Str!F43+Ele!F43+Wat!F43+San!F43+Ref!F43+Mayor!F43+CFO!F43+MB!F43+Infra!F43</f>
        <v>8900</v>
      </c>
      <c r="G43" s="235">
        <f>+Cs!G43+Fin!G43+Rat!G43+MM!G43+Lib!G43+Pry!G43+Hal!G43+Cem!G43+Par!G43+EDv!H42+Str!G43+Ele!G43+Wat!G43+San!G43+Ref!G43+Mayor!G43+CFO!G43+MB!G43+Infra!G43</f>
        <v>9400</v>
      </c>
      <c r="H43" s="66" t="s">
        <v>3465</v>
      </c>
      <c r="I43" s="66" t="s">
        <v>2621</v>
      </c>
    </row>
    <row r="44" spans="1:9" x14ac:dyDescent="0.35">
      <c r="A44" s="66" t="s">
        <v>3526</v>
      </c>
      <c r="B44" s="89">
        <f>+Cs!B44+Fin!B44+Rat!B44+MM!B44+Lib!B44+Pry!B44+Hal!B44+Cem!B44+Par!B44+EDv!C43+Str!B44+Ele!B44+Wat!B44+San!B44+Ref!B44+Mayor!B44+CFO!B44+MB!B44+Infra!B44</f>
        <v>1056700</v>
      </c>
      <c r="C44" s="89">
        <f>+Cs!C44+Fin!C44+Rat!C44+MM!C44+Lib!C44+Pry!C44+Hal!C44+Cem!C44+Par!C44+EDv!D43+Str!C44+Ele!C44+Wat!C44+San!C44+Ref!C44+Mayor!C44+CFO!C44+MB!C44+Infra!C44</f>
        <v>1056700</v>
      </c>
      <c r="D44" s="89">
        <f>+Cs!D44+Fin!D44+Rat!D44+MM!D44+Lib!D44+Pry!D44+Hal!D44+Cem!D44+Par!D44+EDv!E43+Str!D44+Ele!D44+Wat!D44+San!D44+Ref!D44+Mayor!D44+CFO!D44+MB!D44+Infra!D44</f>
        <v>1651349.48</v>
      </c>
      <c r="E44" s="235">
        <f>+Cs!E44+Fin!E44+Rat!E44+MM!E44+Lib!E44+Pry!E44+Hal!E44+Cem!E44+Par!E44+EDv!F43+Str!E44+Ele!E44+Wat!E44+San!E44+Ref!E44+Mayor!E44+CFO!E44+MB!E44+Infra!E44</f>
        <v>1775300</v>
      </c>
      <c r="F44" s="235">
        <f>+Cs!F44+Fin!F44+Rat!F44+MM!F44+Lib!F44+Pry!F44+Hal!F44+Cem!F44+Par!F44+EDv!G43+Str!F44+Ele!F44+Wat!F44+San!F44+Ref!F44+Mayor!F44+CFO!F44+MB!F44+Infra!F44</f>
        <v>1857000</v>
      </c>
      <c r="G44" s="235">
        <f>+Cs!G44+Fin!G44+Rat!G44+MM!G44+Lib!G44+Pry!G44+Hal!G44+Cem!G44+Par!G44+EDv!H43+Str!G44+Ele!G44+Wat!G44+San!G44+Ref!G44+Mayor!G44+CFO!G44+MB!G44+Infra!G44</f>
        <v>1942500</v>
      </c>
      <c r="H44" s="66" t="s">
        <v>3465</v>
      </c>
      <c r="I44" s="66" t="s">
        <v>2620</v>
      </c>
    </row>
    <row r="45" spans="1:9" x14ac:dyDescent="0.35">
      <c r="A45" s="66" t="s">
        <v>3524</v>
      </c>
      <c r="B45" s="89">
        <f>+Cs!B45+Fin!B45+Rat!B45+MM!B45+Lib!B45+Pry!B45+Hal!B45+Cem!B45+Par!B45+EDv!C44+Str!B45+Ele!B45+Wat!B45+San!B45+Ref!B45+Mayor!B45+CFO!B45+MB!B45+Infra!B45</f>
        <v>0</v>
      </c>
      <c r="C45" s="89">
        <f>+Cs!C45+Fin!C45+Rat!C45+MM!C45+Lib!C45+Pry!C45+Hal!C45+Cem!C45+Par!C45+EDv!D44+Str!C45+Ele!C45+Wat!C45+San!C45+Ref!C45+Mayor!C45+CFO!C45+MB!C45+Infra!C45</f>
        <v>0</v>
      </c>
      <c r="D45" s="89">
        <f>+Cs!D45+Fin!D45+Rat!D45+MM!D45+Lib!D45+Pry!D45+Hal!D45+Cem!D45+Par!D45+EDv!E44+Str!D45+Ele!D45+Wat!D45+San!D45+Ref!D45+Mayor!D45+CFO!D45+MB!D45+Infra!D45</f>
        <v>804.72</v>
      </c>
      <c r="E45" s="235">
        <f>+Cs!E45+Fin!E45+Rat!E45+MM!E45+Lib!E45+Pry!E45+Hal!E45+Cem!E45+Par!E45+EDv!F44+Str!E45+Ele!E45+Wat!E45+San!E45+Ref!E45+Mayor!E45+CFO!E45+MB!E45+Infra!E45</f>
        <v>900</v>
      </c>
      <c r="F45" s="235">
        <f>+Cs!F45+Fin!F45+Rat!F45+MM!F45+Lib!F45+Pry!F45+Hal!F45+Cem!F45+Par!F45+EDv!G44+Str!F45+Ele!F45+Wat!F45+San!F45+Ref!F45+Mayor!F45+CFO!F45+MB!F45+Infra!F45</f>
        <v>1000</v>
      </c>
      <c r="G45" s="235">
        <f>+Cs!G45+Fin!G45+Rat!G45+MM!G45+Lib!G45+Pry!G45+Hal!G45+Cem!G45+Par!G45+EDv!H44+Str!G45+Ele!G45+Wat!G45+San!G45+Ref!G45+Mayor!G45+CFO!G45+MB!G45+Infra!G45</f>
        <v>1100</v>
      </c>
      <c r="H45" s="66" t="s">
        <v>3465</v>
      </c>
      <c r="I45" s="66" t="s">
        <v>2620</v>
      </c>
    </row>
    <row r="46" spans="1:9" x14ac:dyDescent="0.35">
      <c r="A46" s="66" t="s">
        <v>3525</v>
      </c>
      <c r="B46" s="89">
        <f>+Cs!B46+Fin!B46+Rat!B46+MM!B46+Lib!B46+Pry!B46+Hal!B46+Cem!B46+Par!B46+EDv!C45+Str!B46+Ele!B46+Wat!B46+San!B46+Ref!B46+Mayor!B46+CFO!B46+MB!B46+Infra!B46</f>
        <v>0</v>
      </c>
      <c r="C46" s="89">
        <f>+Cs!C46+Fin!C46+Rat!C46+MM!C46+Lib!C46+Pry!C46+Hal!C46+Cem!C46+Par!C46+EDv!D45+Str!C46+Ele!C46+Wat!C46+San!C46+Ref!C46+Mayor!C46+CFO!C46+MB!C46+Infra!C46</f>
        <v>0</v>
      </c>
      <c r="D46" s="89">
        <f>+Cs!D46+Fin!D46+Rat!D46+MM!D46+Lib!D46+Pry!D46+Hal!D46+Cem!D46+Par!D46+EDv!E45+Str!D46+Ele!D46+Wat!D46+San!D46+Ref!D46+Mayor!D46+CFO!D46+MB!D46+Infra!D46</f>
        <v>89549.6</v>
      </c>
      <c r="E46" s="235">
        <f>+Cs!E46+Fin!E46+Rat!E46+MM!E46+Lib!E46+Pry!E46+Hal!E46+Cem!E46+Par!E46+EDv!F45+Str!E46+Ele!E46+Wat!E46+San!E46+Ref!E46+Mayor!E46+CFO!E46+MB!E46+Infra!E46</f>
        <v>96300</v>
      </c>
      <c r="F46" s="235">
        <f>+Cs!F46+Fin!F46+Rat!F46+MM!F46+Lib!F46+Pry!F46+Hal!F46+Cem!F46+Par!F46+EDv!G45+Str!F46+Ele!F46+Wat!F46+San!F46+Ref!F46+Mayor!F46+CFO!F46+MB!F46+Infra!F46</f>
        <v>100800</v>
      </c>
      <c r="G46" s="235">
        <f>+Cs!G46+Fin!G46+Rat!G46+MM!G46+Lib!G46+Pry!G46+Hal!G46+Cem!G46+Par!G46+EDv!H45+Str!G46+Ele!G46+Wat!G46+San!G46+Ref!G46+Mayor!G46+CFO!G46+MB!G46+Infra!G46</f>
        <v>105500</v>
      </c>
      <c r="H46" s="66" t="s">
        <v>3465</v>
      </c>
      <c r="I46" s="66" t="s">
        <v>2620</v>
      </c>
    </row>
    <row r="47" spans="1:9" x14ac:dyDescent="0.35">
      <c r="A47" s="66" t="s">
        <v>3527</v>
      </c>
      <c r="B47" s="89">
        <f>+Cs!B47+Fin!B47+Rat!B47+MM!B47+Lib!B47+Pry!B47+Hal!B47+Cem!B47+Par!B47+EDv!C46+Str!B47+Ele!B47+Wat!B47+San!B47+Ref!B47+Mayor!B47+CFO!B47+MB!B47+Infra!B47</f>
        <v>0</v>
      </c>
      <c r="C47" s="89">
        <f>+Cs!C47+Fin!C47+Rat!C47+MM!C47+Lib!C47+Pry!C47+Hal!C47+Cem!C47+Par!C47+EDv!D46+Str!C47+Ele!C47+Wat!C47+San!C47+Ref!C47+Mayor!C47+CFO!C47+MB!C47+Infra!C47</f>
        <v>0</v>
      </c>
      <c r="D47" s="89">
        <f>+Cs!D47+Fin!D47+Rat!D47+MM!D47+Lib!D47+Pry!D47+Hal!D47+Cem!D47+Par!D47+EDv!E46+Str!D47+Ele!D47+Wat!D47+San!D47+Ref!D47+Mayor!D47+CFO!D47+MB!D47+Infra!D47</f>
        <v>80513.87</v>
      </c>
      <c r="E47" s="235">
        <f>+Cs!E47+Fin!E47+Rat!E47+MM!E47+Lib!E47+Pry!E47+Hal!E47+Cem!E47+Par!E47+EDv!F46+Str!E47+Ele!E47+Wat!E47+San!E47+Ref!E47+Mayor!E47+CFO!E47+MB!E47+Infra!E47</f>
        <v>86600</v>
      </c>
      <c r="F47" s="235">
        <f>+Cs!F47+Fin!F47+Rat!F47+MM!F47+Lib!F47+Pry!F47+Hal!F47+Cem!F47+Par!F47+EDv!G46+Str!F47+Ele!F47+Wat!F47+San!F47+Ref!F47+Mayor!F47+CFO!F47+MB!F47+Infra!F47</f>
        <v>90600</v>
      </c>
      <c r="G47" s="235">
        <f>+Cs!G47+Fin!G47+Rat!G47+MM!G47+Lib!G47+Pry!G47+Hal!G47+Cem!G47+Par!G47+EDv!H46+Str!G47+Ele!G47+Wat!G47+San!G47+Ref!G47+Mayor!G47+CFO!G47+MB!G47+Infra!G47</f>
        <v>94800</v>
      </c>
      <c r="H47" s="66" t="s">
        <v>3465</v>
      </c>
      <c r="I47" s="66" t="s">
        <v>2620</v>
      </c>
    </row>
    <row r="48" spans="1:9" x14ac:dyDescent="0.35">
      <c r="A48" s="66" t="s">
        <v>3416</v>
      </c>
      <c r="B48" s="89">
        <f>+Cs!B48+Fin!B48+Rat!B48+MM!B48+Lib!B48+Pry!B48+Hal!B48+Cem!B48+Par!B48+EDv!C47+Str!B48+Ele!B48+Wat!B48+San!B48+Ref!B48+Mayor!B48+CFO!B48+MB!B48+Infra!B48</f>
        <v>-18200</v>
      </c>
      <c r="C48" s="89">
        <f>+Cs!C48+Fin!C48+Rat!C48+MM!C48+Lib!C48+Pry!C48+Hal!C48+Cem!C48+Par!C48+EDv!D47+Str!C48+Ele!C48+Wat!C48+San!C48+Ref!C48+Mayor!C48+CFO!C48+MB!C48+Infra!C48</f>
        <v>-18200</v>
      </c>
      <c r="D48" s="89">
        <f>+Cs!D48+Fin!D48+Rat!D48+MM!D48+Lib!D48+Pry!D48+Hal!D48+Cem!D48+Par!D48+EDv!E47+Str!D48+Ele!D48+Wat!D48+San!D48+Ref!D48+Mayor!D48+CFO!D48+MB!D48+Infra!D48</f>
        <v>-17134</v>
      </c>
      <c r="E48" s="235">
        <f>+Cs!E48+Fin!E48+Rat!E48+MM!E48+Lib!E48+Pry!E48+Hal!E48+Cem!E48+Par!E48+EDv!F47+Str!E48+Ele!E48+Wat!E48+San!E48+Ref!E48+Mayor!E48+CFO!E48+MB!E48+Infra!E48</f>
        <v>-18200</v>
      </c>
      <c r="F48" s="235">
        <f>+Cs!F48+Fin!F48+Rat!F48+MM!F48+Lib!F48+Pry!F48+Hal!F48+Cem!F48+Par!F48+EDv!G47+Str!F48+Ele!F48+Wat!F48+San!F48+Ref!F48+Mayor!F48+CFO!F48+MB!F48+Infra!F48</f>
        <v>-19200</v>
      </c>
      <c r="G48" s="235">
        <f>+Cs!G48+Fin!G48+Rat!G48+MM!G48+Lib!G48+Pry!G48+Hal!G48+Cem!G48+Par!G48+EDv!H47+Str!G48+Ele!G48+Wat!G48+San!G48+Ref!G48+Mayor!G48+CFO!G48+MB!G48+Infra!G48</f>
        <v>-20300</v>
      </c>
      <c r="H48" s="66" t="s">
        <v>2707</v>
      </c>
      <c r="I48" s="66"/>
    </row>
    <row r="49" spans="1:9" x14ac:dyDescent="0.35">
      <c r="A49" s="66" t="s">
        <v>2828</v>
      </c>
      <c r="B49" s="89">
        <f>+Cs!B49+Fin!B49+Rat!B49+MM!B49+Lib!B49+Pry!B49+Hal!B49+Cem!B49+Par!B49+EDv!C48+Str!B49+Ele!B49+Wat!B49+San!B49+Ref!B49+Mayor!B49+CFO!B49+MB!B49+Infra!B49</f>
        <v>-2000000</v>
      </c>
      <c r="C49" s="89">
        <f>+Cs!C49+Fin!C49+Rat!C49+MM!C49+Lib!C49+Pry!C49+Hal!C49+Cem!C49+Par!C49+EDv!D48+Str!C49+Ele!C49+Wat!C49+San!C49+Ref!C49+Mayor!C49+CFO!C49+MB!C49+Infra!C49</f>
        <v>-2000000</v>
      </c>
      <c r="D49" s="89">
        <f>+Cs!D49+Fin!D49+Rat!D49+MM!D49+Lib!D49+Pry!D49+Hal!D49+Cem!D49+Par!D49+EDv!E48+Str!D49+Ele!D49+Wat!D49+San!D49+Ref!D49+Mayor!D49+CFO!D49+MB!D49+Infra!D49</f>
        <v>-2000000</v>
      </c>
      <c r="E49" s="89">
        <f>+Cs!E49+Fin!E49+Rat!E49+MM!E49+Lib!E49+Pry!E49+Hal!E49+Cem!E49+Par!E49+EDv!F48+Str!E49+Ele!E49+Wat!E49+San!E49+Ref!E49+Mayor!E49+CFO!E49+MB!E49+Infra!E49</f>
        <v>0</v>
      </c>
      <c r="F49" s="89">
        <f>+Cs!F49+Fin!F49+Rat!F49+MM!F49+Lib!F49+Pry!F49+Hal!F49+Cem!F49+Par!F49+EDv!G48+Str!F49+Ele!F49+Wat!F49+San!F49+Ref!F49+Mayor!F49+CFO!F49+MB!F49+Infra!F49</f>
        <v>-2000000</v>
      </c>
      <c r="G49" s="89">
        <f>+Cs!G49+Fin!G49+Rat!G49+MM!G49+Lib!G49+Pry!G49+Hal!G49+Cem!G49+Par!G49+EDv!H48+Str!G49+Ele!G49+Wat!G49+San!G49+Ref!G49+Mayor!G49+CFO!G49+MB!G49+Infra!G49</f>
        <v>-2000000</v>
      </c>
      <c r="H49" s="66" t="s">
        <v>3467</v>
      </c>
      <c r="I49" s="66" t="s">
        <v>3466</v>
      </c>
    </row>
    <row r="50" spans="1:9" x14ac:dyDescent="0.35">
      <c r="A50" s="66" t="s">
        <v>2965</v>
      </c>
      <c r="B50" s="89">
        <f>+Cs!B50+Fin!B50+Rat!B50+MM!B50+Lib!B50+Pry!B50+Hal!B50+Cem!B50+Par!B50+EDv!C49+Str!B50+Ele!B50+Wat!B50+San!B50+Ref!B50+Mayor!B50+CFO!B50+MB!B50+Infra!B50</f>
        <v>-399700</v>
      </c>
      <c r="C50" s="89">
        <f>+Cs!C50+Fin!C50+Rat!C50+MM!C50+Lib!C50+Pry!C50+Hal!C50+Cem!C50+Par!C50+EDv!D49+Str!C50+Ele!C50+Wat!C50+San!C50+Ref!C50+Mayor!C50+CFO!C50+MB!C50+Infra!C50</f>
        <v>-399700</v>
      </c>
      <c r="D50" s="89">
        <f>+Cs!D50+Fin!D50+Rat!D50+MM!D50+Lib!D50+Pry!D50+Hal!D50+Cem!D50+Par!D50+EDv!E49+Str!D50+Ele!D50+Wat!D50+San!D50+Ref!D50+Mayor!D50+CFO!D50+MB!D50+Infra!D50</f>
        <v>-141948.09</v>
      </c>
      <c r="E50" s="235">
        <f>+Cs!E50+Fin!E50+Rat!E50+MM!E50+Lib!E50+Pry!E50+Hal!E50+Cem!E50+Par!E50+EDv!F49+Str!E50+Ele!E50+Wat!E50+San!E50+Ref!E50+Mayor!E50+CFO!E50+MB!E50+Infra!E50</f>
        <v>-148400</v>
      </c>
      <c r="F50" s="235">
        <f>+Cs!F50+Fin!F50+Rat!F50+MM!F50+Lib!F50+Pry!F50+Hal!F50+Cem!F50+Par!F50+EDv!G49+Str!F50+Ele!F50+Wat!F50+San!F50+Ref!F50+Mayor!F50+CFO!F50+MB!F50+Infra!F50</f>
        <v>-155300</v>
      </c>
      <c r="G50" s="235">
        <f>+Cs!G50+Fin!G50+Rat!G50+MM!G50+Lib!G50+Pry!G50+Hal!G50+Cem!G50+Par!G50+EDv!H49+Str!G50+Ele!G50+Wat!G50+San!G50+Ref!G50+Mayor!G50+CFO!G50+MB!G50+Infra!G50</f>
        <v>-162500</v>
      </c>
      <c r="H50" s="66" t="s">
        <v>3470</v>
      </c>
      <c r="I50" s="66" t="s">
        <v>3471</v>
      </c>
    </row>
    <row r="51" spans="1:9" x14ac:dyDescent="0.35">
      <c r="A51" s="66" t="s">
        <v>2967</v>
      </c>
      <c r="B51" s="89">
        <f>+Cs!B51+Fin!B51+Rat!B51+MM!B51+Lib!B51+Pry!B51+Hal!B51+Cem!B51+Par!B51+EDv!C50+Str!B51+Ele!B51+Wat!B51+San!B51+Ref!B51+Mayor!B51+CFO!B51+MB!B51+Infra!B51</f>
        <v>-3600</v>
      </c>
      <c r="C51" s="89">
        <f>+Cs!C51+Fin!C51+Rat!C51+MM!C51+Lib!C51+Pry!C51+Hal!C51+Cem!C51+Par!C51+EDv!D50+Str!C51+Ele!C51+Wat!C51+San!C51+Ref!C51+Mayor!C51+CFO!C51+MB!C51+Infra!C51</f>
        <v>-3600</v>
      </c>
      <c r="D51" s="89">
        <f>+Cs!D51+Fin!D51+Rat!D51+MM!D51+Lib!D51+Pry!D51+Hal!D51+Cem!D51+Par!D51+EDv!E50+Str!D51+Ele!D51+Wat!D51+San!D51+Ref!D51+Mayor!D51+CFO!D51+MB!D51+Infra!D51</f>
        <v>-2901</v>
      </c>
      <c r="E51" s="235">
        <f>+Cs!E51+Fin!E51+Rat!E51+MM!E51+Lib!E51+Pry!E51+Hal!E51+Cem!E51+Par!E51+EDv!F50+Str!E51+Ele!E51+Wat!E51+San!E51+Ref!E51+Mayor!E51+CFO!E51+MB!E51+Infra!E51</f>
        <v>-3600</v>
      </c>
      <c r="F51" s="235">
        <f>+Cs!F51+Fin!F51+Rat!F51+MM!F51+Lib!F51+Pry!F51+Hal!F51+Cem!F51+Par!F51+EDv!G50+Str!F51+Ele!F51+Wat!F51+San!F51+Ref!F51+Mayor!F51+CFO!F51+MB!F51+Infra!F51</f>
        <v>-3800</v>
      </c>
      <c r="G51" s="235">
        <f>+Cs!G51+Fin!G51+Rat!G51+MM!G51+Lib!G51+Pry!G51+Hal!G51+Cem!G51+Par!G51+EDv!H50+Str!G51+Ele!G51+Wat!G51+San!G51+Ref!G51+Mayor!G51+CFO!G51+MB!G51+Infra!G51</f>
        <v>-4000</v>
      </c>
      <c r="H51" s="66" t="s">
        <v>3470</v>
      </c>
      <c r="I51" s="66" t="s">
        <v>3471</v>
      </c>
    </row>
    <row r="52" spans="1:9" x14ac:dyDescent="0.35">
      <c r="A52" s="66" t="s">
        <v>2968</v>
      </c>
      <c r="B52" s="89">
        <f>+Cs!B52+Fin!B52+Rat!B52+MM!B52+Lib!B52+Pry!B52+Hal!B52+Cem!B52+Par!B52+EDv!C51+Str!B52+Ele!B52+Wat!B52+San!B52+Ref!B52+Mayor!B52+CFO!B52+MB!B52+Infra!B52</f>
        <v>-218000</v>
      </c>
      <c r="C52" s="89">
        <f>+Cs!C52+Fin!C52+Rat!C52+MM!C52+Lib!C52+Pry!C52+Hal!C52+Cem!C52+Par!C52+EDv!D51+Str!C52+Ele!C52+Wat!C52+San!C52+Ref!C52+Mayor!C52+CFO!C52+MB!C52+Infra!C52</f>
        <v>-218000</v>
      </c>
      <c r="D52" s="89">
        <f>+Cs!D52+Fin!D52+Rat!D52+MM!D52+Lib!D52+Pry!D52+Hal!D52+Cem!D52+Par!D52+EDv!E51+Str!D52+Ele!D52+Wat!D52+San!D52+Ref!D52+Mayor!D52+CFO!D52+MB!D52+Infra!D52</f>
        <v>-426070.17</v>
      </c>
      <c r="E52" s="235">
        <f>+Cs!E52+Fin!E52+Rat!E52+MM!E52+Lib!E52+Pry!E52+Hal!E52+Cem!E52+Par!E52+EDv!F51+Str!E52+Ele!E52+Wat!E52+San!E52+Ref!E52+Mayor!E52+CFO!E52+MB!E52+Infra!E52</f>
        <v>-445300</v>
      </c>
      <c r="F52" s="235">
        <f>+Cs!F52+Fin!F52+Rat!F52+MM!F52+Lib!F52+Pry!F52+Hal!F52+Cem!F52+Par!F52+EDv!G51+Str!F52+Ele!F52+Wat!F52+San!F52+Ref!F52+Mayor!F52+CFO!F52+MB!F52+Infra!F52</f>
        <v>-465800</v>
      </c>
      <c r="G52" s="235">
        <f>+Cs!G52+Fin!G52+Rat!G52+MM!G52+Lib!G52+Pry!G52+Hal!G52+Cem!G52+Par!G52+EDv!H51+Str!G52+Ele!G52+Wat!G52+San!G52+Ref!G52+Mayor!G52+CFO!G52+MB!G52+Infra!G52</f>
        <v>-487300</v>
      </c>
      <c r="H52" s="66" t="s">
        <v>3470</v>
      </c>
      <c r="I52" s="66" t="s">
        <v>3471</v>
      </c>
    </row>
    <row r="53" spans="1:9" x14ac:dyDescent="0.35">
      <c r="A53" s="66" t="s">
        <v>2966</v>
      </c>
      <c r="B53" s="89">
        <f>+Cs!B53+Fin!B53+Rat!B53+MM!B53+Lib!B53+Pry!B53+Hal!B53+Cem!B53+Par!B53+EDv!C52+Str!B53+Ele!B53+Wat!B53+San!B53+Ref!B53+Mayor!B53+CFO!B53+MB!B53+Infra!B53</f>
        <v>-698000</v>
      </c>
      <c r="C53" s="89">
        <f>+Cs!C53+Fin!C53+Rat!C53+MM!C53+Lib!C53+Pry!C53+Hal!C53+Cem!C53+Par!C53+EDv!D52+Str!C53+Ele!C53+Wat!C53+San!C53+Ref!C53+Mayor!C53+CFO!C53+MB!C53+Infra!C53</f>
        <v>-498000</v>
      </c>
      <c r="D53" s="89">
        <f>+Cs!D53+Fin!D53+Rat!D53+MM!D53+Lib!D53+Pry!D53+Hal!D53+Cem!D53+Par!D53+EDv!E52+Str!D53+Ele!D53+Wat!D53+San!D53+Ref!D53+Mayor!D53+CFO!D53+MB!D53+Infra!D53</f>
        <v>-227036.18</v>
      </c>
      <c r="E53" s="235">
        <f>+Cs!E53+Fin!E53+Rat!E53+MM!E53+Lib!E53+Pry!E53+Hal!E53+Cem!E53+Par!E53+EDv!F52+Str!E53+Ele!E53+Wat!E53+San!E53+Ref!E53+Mayor!E53+CFO!E53+MB!E53+Infra!E53</f>
        <v>-237300</v>
      </c>
      <c r="F53" s="235">
        <f>+Cs!F53+Fin!F53+Rat!F53+MM!F53+Lib!F53+Pry!F53+Hal!F53+Cem!F53+Par!F53+EDv!G52+Str!F53+Ele!F53+Wat!F53+San!F53+Ref!F53+Mayor!F53+CFO!F53+MB!F53+Infra!F53</f>
        <v>-248300</v>
      </c>
      <c r="G53" s="235">
        <f>+Cs!G53+Fin!G53+Rat!G53+MM!G53+Lib!G53+Pry!G53+Hal!G53+Cem!G53+Par!G53+EDv!H52+Str!G53+Ele!G53+Wat!G53+San!G53+Ref!G53+Mayor!G53+CFO!G53+MB!G53+Infra!G53</f>
        <v>-259800</v>
      </c>
      <c r="H53" s="66" t="s">
        <v>3470</v>
      </c>
      <c r="I53" s="66" t="s">
        <v>3471</v>
      </c>
    </row>
    <row r="54" spans="1:9" x14ac:dyDescent="0.35">
      <c r="A54" s="66" t="s">
        <v>2963</v>
      </c>
      <c r="B54" s="89">
        <f>+Cs!B54+Fin!B54+Rat!B54+MM!B54+Lib!B54+Pry!B54+Hal!B54+Cem!B54+Par!B54+EDv!C53+Str!B54+Ele!B54+Wat!B54+San!B54+Ref!B54+Mayor!B54+CFO!B54+MB!B54+Infra!B54</f>
        <v>-718000</v>
      </c>
      <c r="C54" s="89">
        <f>+Cs!C54+Fin!C54+Rat!C54+MM!C54+Lib!C54+Pry!C54+Hal!C54+Cem!C54+Par!C54+EDv!D53+Str!C54+Ele!C54+Wat!C54+San!C54+Ref!C54+Mayor!C54+CFO!C54+MB!C54+Infra!C54</f>
        <v>-518000</v>
      </c>
      <c r="D54" s="89">
        <f>+Cs!D54+Fin!D54+Rat!D54+MM!D54+Lib!D54+Pry!D54+Hal!D54+Cem!D54+Par!D54+EDv!E53+Str!D54+Ele!D54+Wat!D54+San!D54+Ref!D54+Mayor!D54+CFO!D54+MB!D54+Infra!D54</f>
        <v>-604058.87</v>
      </c>
      <c r="E54" s="235">
        <f>+Cs!E54+Fin!E54+Rat!E54+MM!E54+Lib!E54+Pry!E54+Hal!E54+Cem!E54+Par!E54+EDv!F53+Str!E54+Ele!E54+Wat!E54+San!E54+Ref!E54+Mayor!E54+CFO!E54+MB!E54+Infra!E54</f>
        <v>-631300</v>
      </c>
      <c r="F54" s="235">
        <f>+Cs!F54+Fin!F54+Rat!F54+MM!F54+Lib!F54+Pry!F54+Hal!F54+Cem!F54+Par!F54+EDv!G53+Str!F54+Ele!F54+Wat!F54+San!F54+Ref!F54+Mayor!F54+CFO!F54+MB!F54+Infra!F54</f>
        <v>-660400</v>
      </c>
      <c r="G54" s="235">
        <f>+Cs!G54+Fin!G54+Rat!G54+MM!G54+Lib!G54+Pry!G54+Hal!G54+Cem!G54+Par!G54+EDv!H53+Str!G54+Ele!G54+Wat!G54+San!G54+Ref!G54+Mayor!G54+CFO!G54+MB!G54+Infra!G54</f>
        <v>-690800</v>
      </c>
      <c r="H54" s="66" t="s">
        <v>3470</v>
      </c>
      <c r="I54" s="66" t="s">
        <v>3471</v>
      </c>
    </row>
    <row r="55" spans="1:9" x14ac:dyDescent="0.35">
      <c r="A55" s="66" t="s">
        <v>2964</v>
      </c>
      <c r="B55" s="89">
        <f>+Cs!B55+Fin!B55+Rat!B55+MM!B55+Lib!B55+Pry!B55+Hal!B55+Cem!B55+Par!B55+EDv!C54+Str!B55+Ele!B55+Wat!B55+San!B55+Ref!B55+Mayor!B55+CFO!B55+MB!B55+Infra!B55</f>
        <v>-681900</v>
      </c>
      <c r="C55" s="89">
        <f>+Cs!C55+Fin!C55+Rat!C55+MM!C55+Lib!C55+Pry!C55+Hal!C55+Cem!C55+Par!C55+EDv!D54+Str!C55+Ele!C55+Wat!C55+San!C55+Ref!C55+Mayor!C55+CFO!C55+MB!C55+Infra!C55</f>
        <v>-678900</v>
      </c>
      <c r="D55" s="89">
        <f>+Cs!D55+Fin!D55+Rat!D55+MM!D55+Lib!D55+Pry!D55+Hal!D55+Cem!D55+Par!D55+EDv!E54+Str!D55+Ele!D55+Wat!D55+San!D55+Ref!D55+Mayor!D55+CFO!D55+MB!D55+Infra!D55</f>
        <v>-473972.49</v>
      </c>
      <c r="E55" s="235">
        <f>+Cs!E55+Fin!E55+Rat!E55+MM!E55+Lib!E55+Pry!E55+Hal!E55+Cem!E55+Par!E55+EDv!F54+Str!E55+Ele!E55+Wat!E55+San!E55+Ref!E55+Mayor!E55+CFO!E55+MB!E55+Infra!E55</f>
        <v>-495400</v>
      </c>
      <c r="F55" s="235">
        <f>+Cs!F55+Fin!F55+Rat!F55+MM!F55+Lib!F55+Pry!F55+Hal!F55+Cem!F55+Par!F55+EDv!G54+Str!F55+Ele!F55+Wat!F55+San!F55+Ref!F55+Mayor!F55+CFO!F55+MB!F55+Infra!F55</f>
        <v>-518200</v>
      </c>
      <c r="G55" s="235">
        <f>+Cs!G55+Fin!G55+Rat!G55+MM!G55+Lib!G55+Pry!G55+Hal!G55+Cem!G55+Par!G55+EDv!H54+Str!G55+Ele!G55+Wat!G55+San!G55+Ref!G55+Mayor!G55+CFO!G55+MB!G55+Infra!G55</f>
        <v>-542100</v>
      </c>
      <c r="H55" s="66" t="s">
        <v>3470</v>
      </c>
      <c r="I55" s="66" t="s">
        <v>3471</v>
      </c>
    </row>
    <row r="56" spans="1:9" x14ac:dyDescent="0.35">
      <c r="A56" s="66" t="s">
        <v>2838</v>
      </c>
      <c r="B56" s="89">
        <f>+Cs!B56+Fin!B56+Rat!B56+MM!B56+Lib!B56+Pry!B56+Hal!B56+Cem!B56+Par!B56+EDv!C55+Str!B56+Ele!B56+Wat!B56+San!B56+Ref!B56+Mayor!B56+CFO!B56+MB!B56+Infra!B56</f>
        <v>-305000</v>
      </c>
      <c r="C56" s="89">
        <f>+Cs!C56+Fin!C56+Rat!C56+MM!C56+Lib!C56+Pry!C56+Hal!C56+Cem!C56+Par!C56+EDv!D55+Str!C56+Ele!C56+Wat!C56+San!C56+Ref!C56+Mayor!C56+CFO!C56+MB!C56+Infra!C56</f>
        <v>-309000</v>
      </c>
      <c r="D56" s="89">
        <f>+Cs!D56+Fin!D56+Rat!D56+MM!D56+Lib!D56+Pry!D56+Hal!D56+Cem!D56+Par!D56+EDv!E55+Str!D56+Ele!D56+Wat!D56+San!D56+Ref!D56+Mayor!D56+CFO!D56+MB!D56+Infra!D56</f>
        <v>-296588.96999999997</v>
      </c>
      <c r="E56" s="235">
        <f>+Cs!E56+Fin!E56+Rat!E56+MM!E56+Lib!E56+Pry!E56+Hal!E56+Cem!E56+Par!E56+EDv!F55+Str!E56+Ele!E56+Wat!E56+San!E56+Ref!E56+Mayor!E56+CFO!E56+MB!E56+Infra!E56</f>
        <v>-297000</v>
      </c>
      <c r="F56" s="235">
        <f>+Cs!F56+Fin!F56+Rat!F56+MM!F56+Lib!F56+Pry!F56+Hal!F56+Cem!F56+Par!F56+EDv!G55+Str!F56+Ele!F56+Wat!F56+San!F56+Ref!F56+Mayor!F56+CFO!F56+MB!F56+Infra!F56</f>
        <v>-310600</v>
      </c>
      <c r="G56" s="235">
        <f>+Cs!G56+Fin!G56+Rat!G56+MM!G56+Lib!G56+Pry!G56+Hal!G56+Cem!G56+Par!G56+EDv!H55+Str!G56+Ele!G56+Wat!G56+San!G56+Ref!G56+Mayor!G56+CFO!G56+MB!G56+Infra!G56</f>
        <v>-324900</v>
      </c>
      <c r="H56" s="66" t="s">
        <v>3470</v>
      </c>
      <c r="I56" s="66" t="s">
        <v>3472</v>
      </c>
    </row>
    <row r="57" spans="1:9" x14ac:dyDescent="0.35">
      <c r="A57" s="66" t="s">
        <v>2976</v>
      </c>
      <c r="B57" s="89">
        <f>+Cs!B57+Fin!B57+Rat!B57+MM!B57+Lib!B57+Pry!B57+Hal!B57+Cem!B57+Par!B57+EDv!C56+Str!B57+Ele!B57+Wat!B57+San!B57+Ref!B57+Mayor!B57+CFO!B57+MB!B57+Infra!B57</f>
        <v>-59000</v>
      </c>
      <c r="C57" s="89">
        <f>+Cs!C57+Fin!C57+Rat!C57+MM!C57+Lib!C57+Pry!C57+Hal!C57+Cem!C57+Par!C57+EDv!D56+Str!C57+Ele!C57+Wat!C57+San!C57+Ref!C57+Mayor!C57+CFO!C57+MB!C57+Infra!C57</f>
        <v>-59000</v>
      </c>
      <c r="D57" s="89">
        <f>+Cs!D57+Fin!D57+Rat!D57+MM!D57+Lib!D57+Pry!D57+Hal!D57+Cem!D57+Par!D57+EDv!E56+Str!D57+Ele!D57+Wat!D57+San!D57+Ref!D57+Mayor!D57+CFO!D57+MB!D57+Infra!D57</f>
        <v>-26400</v>
      </c>
      <c r="E57" s="235">
        <f>+Cs!E57+Fin!E57+Rat!E57+MM!E57+Lib!E57+Pry!E57+Hal!E57+Cem!E57+Par!E57+EDv!F56+Str!E57+Ele!E57+Wat!E57+San!E57+Ref!E57+Mayor!E57+CFO!E57+MB!E57+Infra!E57</f>
        <v>-31000</v>
      </c>
      <c r="F57" s="235">
        <f>+Cs!F57+Fin!F57+Rat!F57+MM!F57+Lib!F57+Pry!F57+Hal!F57+Cem!F57+Par!F57+EDv!G56+Str!F57+Ele!F57+Wat!F57+San!F57+Ref!F57+Mayor!F57+CFO!F57+MB!F57+Infra!F57</f>
        <v>-32400</v>
      </c>
      <c r="G57" s="235">
        <f>+Cs!G57+Fin!G57+Rat!G57+MM!G57+Lib!G57+Pry!G57+Hal!G57+Cem!G57+Par!G57+EDv!H56+Str!G57+Ele!G57+Wat!G57+San!G57+Ref!G57+Mayor!G57+CFO!G57+MB!G57+Infra!G57</f>
        <v>-33900</v>
      </c>
      <c r="H57" s="66" t="s">
        <v>2707</v>
      </c>
      <c r="I57" s="66"/>
    </row>
    <row r="58" spans="1:9" x14ac:dyDescent="0.35">
      <c r="A58" s="66" t="s">
        <v>2889</v>
      </c>
      <c r="B58" s="89">
        <f>+Cs!B58+Fin!B58+Rat!B58+MM!B58+Lib!B58+Pry!B58+Hal!B58+Cem!B58+Par!B58+EDv!C57+Str!B58+Ele!B58+Wat!B58+San!B58+Ref!B58+Mayor!B58+CFO!B58+MB!B58+Infra!B58</f>
        <v>-1600</v>
      </c>
      <c r="C58" s="89">
        <f>+Cs!C58+Fin!C58+Rat!C58+MM!C58+Lib!C58+Pry!C58+Hal!C58+Cem!C58+Par!C58+EDv!D57+Str!C58+Ele!C58+Wat!C58+San!C58+Ref!C58+Mayor!C58+CFO!C58+MB!C58+Infra!C58</f>
        <v>-1600</v>
      </c>
      <c r="D58" s="89">
        <f>+Cs!D58+Fin!D58+Rat!D58+MM!D58+Lib!D58+Pry!D58+Hal!D58+Cem!D58+Par!D58+EDv!E57+Str!D58+Ele!D58+Wat!D58+San!D58+Ref!D58+Mayor!D58+CFO!D58+MB!D58+Infra!D58</f>
        <v>-900</v>
      </c>
      <c r="E58" s="235">
        <f>+Cs!E58+Fin!E58+Rat!E58+MM!E58+Lib!E58+Pry!E58+Hal!E58+Cem!E58+Par!E58+EDv!F57+Str!E58+Ele!E58+Wat!E58+San!E58+Ref!E58+Mayor!E58+CFO!E58+MB!E58+Infra!E58</f>
        <v>-1700</v>
      </c>
      <c r="F58" s="235">
        <f>+Cs!F58+Fin!F58+Rat!F58+MM!F58+Lib!F58+Pry!F58+Hal!F58+Cem!F58+Par!F58+EDv!G57+Str!F58+Ele!F58+Wat!F58+San!F58+Ref!F58+Mayor!F58+CFO!F58+MB!F58+Infra!F58</f>
        <v>-1800</v>
      </c>
      <c r="G58" s="235">
        <f>+Cs!G58+Fin!G58+Rat!G58+MM!G58+Lib!G58+Pry!G58+Hal!G58+Cem!G58+Par!G58+EDv!H57+Str!G58+Ele!G58+Wat!G58+San!G58+Ref!G58+Mayor!G58+CFO!G58+MB!G58+Infra!G58</f>
        <v>-1800</v>
      </c>
      <c r="H58" s="66" t="s">
        <v>3496</v>
      </c>
      <c r="I58" s="66"/>
    </row>
    <row r="59" spans="1:9" x14ac:dyDescent="0.35">
      <c r="A59" s="66" t="s">
        <v>2888</v>
      </c>
      <c r="B59" s="89">
        <f>+Cs!B59+Fin!B59+Rat!B59+MM!B59+Lib!B59+Pry!B59+Hal!B59+Cem!B59+Par!B59+EDv!C58+Str!B59+Ele!B59+Wat!B59+San!B59+Ref!B59+Mayor!B59+CFO!B59+MB!B59+Infra!B59</f>
        <v>-1497000</v>
      </c>
      <c r="C59" s="89">
        <f>+Cs!C59+Fin!C59+Rat!C59+MM!C59+Lib!C59+Pry!C59+Hal!C59+Cem!C59+Par!C59+EDv!D58+Str!C59+Ele!C59+Wat!C59+San!C59+Ref!C59+Mayor!C59+CFO!C59+MB!C59+Infra!C59</f>
        <v>-1411000</v>
      </c>
      <c r="D59" s="89">
        <f>+Cs!D59+Fin!D59+Rat!D59+MM!D59+Lib!D59+Pry!D59+Hal!D59+Cem!D59+Par!D59+EDv!E58+Str!D59+Ele!D59+Wat!D59+San!D59+Ref!D59+Mayor!D59+CFO!D59+MB!D59+Infra!D59</f>
        <v>-1497000</v>
      </c>
      <c r="E59" s="235">
        <f>+Cs!E59+Fin!E59+Rat!E59+MM!E59+Lib!E59+Pry!E59+Hal!E59+Cem!E59+Par!E59+EDv!F58+Str!E59+Ele!E59+Wat!E59+San!E59+Ref!E59+Mayor!E59+CFO!E59+MB!E59+Infra!E59</f>
        <v>-1667000</v>
      </c>
      <c r="F59" s="235">
        <f>+Cs!F59+Fin!F59+Rat!F59+MM!F59+Lib!F59+Pry!F59+Hal!F59+Cem!F59+Par!F59+EDv!G58+Str!F59+Ele!F59+Wat!F59+San!F59+Ref!F59+Mayor!F59+CFO!F59+MB!F59+Infra!F59</f>
        <v>-1744000</v>
      </c>
      <c r="G59" s="235">
        <f>+Cs!G59+Fin!G59+Rat!G59+MM!G59+Lib!G59+Pry!G59+Hal!G59+Cem!G59+Par!G59+EDv!H58+Str!G59+Ele!G59+Wat!G59+San!G59+Ref!G59+Mayor!G59+CFO!G59+MB!G59+Infra!G59</f>
        <v>-1825000</v>
      </c>
      <c r="H59" s="66" t="s">
        <v>3467</v>
      </c>
      <c r="I59" s="66" t="s">
        <v>3468</v>
      </c>
    </row>
    <row r="60" spans="1:9" x14ac:dyDescent="0.35">
      <c r="A60" s="66" t="s">
        <v>2982</v>
      </c>
      <c r="B60" s="89">
        <f>+Cs!B60+Fin!B60+Rat!B60+MM!B60+Lib!B60+Pry!B60+Hal!B60+Cem!B60+Par!B60+EDv!C59+Str!B60+Ele!B60+Wat!B60+San!B60+Ref!B60+Mayor!B60+CFO!B60+MB!B60+Infra!B60</f>
        <v>-4800</v>
      </c>
      <c r="C60" s="89">
        <f>+Cs!C60+Fin!C60+Rat!C60+MM!C60+Lib!C60+Pry!C60+Hal!C60+Cem!C60+Par!C60+EDv!D59+Str!C60+Ele!C60+Wat!C60+San!C60+Ref!C60+Mayor!C60+CFO!C60+MB!C60+Infra!C60</f>
        <v>-4800</v>
      </c>
      <c r="D60" s="89">
        <f>+Cs!D60+Fin!D60+Rat!D60+MM!D60+Lib!D60+Pry!D60+Hal!D60+Cem!D60+Par!D60+EDv!E59+Str!D60+Ele!D60+Wat!D60+San!D60+Ref!D60+Mayor!D60+CFO!D60+MB!D60+Infra!D60</f>
        <v>-900</v>
      </c>
      <c r="E60" s="235">
        <f>+Cs!E60+Fin!E60+Rat!E60+MM!E60+Lib!E60+Pry!E60+Hal!E60+Cem!E60+Par!E60+EDv!F59+Str!E60+Ele!E60+Wat!E60+San!E60+Ref!E60+Mayor!E60+CFO!E60+MB!E60+Infra!E60</f>
        <v>-1000</v>
      </c>
      <c r="F60" s="235">
        <f>+Cs!F60+Fin!F60+Rat!F60+MM!F60+Lib!F60+Pry!F60+Hal!F60+Cem!F60+Par!F60+EDv!G59+Str!F60+Ele!F60+Wat!F60+San!F60+Ref!F60+Mayor!F60+CFO!F60+MB!F60+Infra!F60</f>
        <v>-1000</v>
      </c>
      <c r="G60" s="235">
        <f>+Cs!G60+Fin!G60+Rat!G60+MM!G60+Lib!G60+Pry!G60+Hal!G60+Cem!G60+Par!G60+EDv!H59+Str!G60+Ele!G60+Wat!G60+San!G60+Ref!G60+Mayor!G60+CFO!G60+MB!G60+Infra!G60</f>
        <v>-1000</v>
      </c>
      <c r="H60" s="66" t="s">
        <v>2716</v>
      </c>
      <c r="I60" s="66"/>
    </row>
    <row r="61" spans="1:9" x14ac:dyDescent="0.35">
      <c r="A61" s="66" t="s">
        <v>2839</v>
      </c>
      <c r="B61" s="89">
        <f>+Cs!B61+Fin!B61+Rat!B61+MM!B61+Lib!B61+Pry!B61+Hal!B61+Cem!B61+Par!B61+EDv!C60+Str!B61+Ele!B61+Wat!B61+San!B61+Ref!B61+Mayor!B61+CFO!B61+MB!B61+Infra!B61</f>
        <v>-1300</v>
      </c>
      <c r="C61" s="89">
        <f>+Cs!C61+Fin!C61+Rat!C61+MM!C61+Lib!C61+Pry!C61+Hal!C61+Cem!C61+Par!C61+EDv!D60+Str!C61+Ele!C61+Wat!C61+San!C61+Ref!C61+Mayor!C61+CFO!C61+MB!C61+Infra!C61</f>
        <v>-1300</v>
      </c>
      <c r="D61" s="89">
        <f>+Cs!D61+Fin!D61+Rat!D61+MM!D61+Lib!D61+Pry!D61+Hal!D61+Cem!D61+Par!D61+EDv!E60+Str!D61+Ele!D61+Wat!D61+San!D61+Ref!D61+Mayor!D61+CFO!D61+MB!D61+Infra!D61</f>
        <v>-800</v>
      </c>
      <c r="E61" s="235">
        <f>+Cs!E61+Fin!E61+Rat!E61+MM!E61+Lib!E61+Pry!E61+Hal!E61+Cem!E61+Par!E61+EDv!F60+Str!E61+Ele!E61+Wat!E61+San!E61+Ref!E61+Mayor!E61+CFO!E61+MB!E61+Infra!E61</f>
        <v>-1400</v>
      </c>
      <c r="F61" s="235">
        <f>+Cs!F61+Fin!F61+Rat!F61+MM!F61+Lib!F61+Pry!F61+Hal!F61+Cem!F61+Par!F61+EDv!G60+Str!F61+Ele!F61+Wat!F61+San!F61+Ref!F61+Mayor!F61+CFO!F61+MB!F61+Infra!F61</f>
        <v>-1400</v>
      </c>
      <c r="G61" s="235">
        <f>+Cs!G61+Fin!G61+Rat!G61+MM!G61+Lib!G61+Pry!G61+Hal!G61+Cem!G61+Par!G61+EDv!H60+Str!G61+Ele!G61+Wat!G61+San!G61+Ref!G61+Mayor!G61+CFO!G61+MB!G61+Infra!G61</f>
        <v>-1500</v>
      </c>
      <c r="H61" s="66" t="s">
        <v>2707</v>
      </c>
      <c r="I61" s="66"/>
    </row>
    <row r="62" spans="1:9" x14ac:dyDescent="0.35">
      <c r="A62" s="66" t="s">
        <v>2824</v>
      </c>
      <c r="B62" s="89">
        <f>+Cs!B62+Fin!B62+Rat!B62+MM!B62+Lib!B62+Pry!B62+Hal!B62+Cem!B62+Par!B62+EDv!C61+Str!B62+Ele!B62+Wat!B62+San!B62+Ref!B62+Mayor!B62+CFO!B62+MB!B62+Infra!B62</f>
        <v>0</v>
      </c>
      <c r="C62" s="89">
        <f>+Cs!C62+Fin!C62+Rat!C62+MM!C62+Lib!C62+Pry!C62+Hal!C62+Cem!C62+Par!C62+EDv!D61+Str!C62+Ele!C62+Wat!C62+San!C62+Ref!C62+Mayor!C62+CFO!C62+MB!C62+Infra!C62</f>
        <v>0</v>
      </c>
      <c r="D62" s="89">
        <f>+Cs!D62+Fin!D62+Rat!D62+MM!D62+Lib!D62+Pry!D62+Hal!D62+Cem!D62+Par!D62+EDv!E61+Str!D62+Ele!D62+Wat!D62+San!D62+Ref!D62+Mayor!D62+CFO!D62+MB!D62+Infra!D62</f>
        <v>0</v>
      </c>
      <c r="E62" s="235">
        <f>+Cs!E62+Fin!E62+Rat!E62+MM!E62+Lib!E62+Pry!E62+Hal!E62+Cem!E62+Par!E62+EDv!F61+Str!E62+Ele!E62+Wat!E62+San!E62+Ref!E62+Mayor!E62+CFO!E62+MB!E62+Infra!E62</f>
        <v>0</v>
      </c>
      <c r="F62" s="235">
        <f>+Cs!F62+Fin!F62+Rat!F62+MM!F62+Lib!F62+Pry!F62+Hal!F62+Cem!F62+Par!F62+EDv!G61+Str!F62+Ele!F62+Wat!F62+San!F62+Ref!F62+Mayor!F62+CFO!F62+MB!F62+Infra!F62</f>
        <v>0</v>
      </c>
      <c r="G62" s="235">
        <f>+Cs!G62+Fin!G62+Rat!G62+MM!G62+Lib!G62+Pry!G62+Hal!G62+Cem!G62+Par!G62+EDv!H61+Str!G62+Ele!G62+Wat!G62+San!G62+Ref!G62+Mayor!G62+CFO!G62+MB!G62+Infra!G62</f>
        <v>0</v>
      </c>
      <c r="H62" s="66" t="s">
        <v>2707</v>
      </c>
      <c r="I62" s="66"/>
    </row>
    <row r="63" spans="1:9" x14ac:dyDescent="0.35">
      <c r="A63" s="66" t="s">
        <v>3046</v>
      </c>
      <c r="B63" s="89">
        <f>+Cs!B63+Fin!B63+Rat!B63+MM!B63+Lib!B63+Pry!B63+Hal!B63+Cem!B63+Par!B63+EDv!C62+Str!B63+Ele!B63+Wat!B63+San!B63+Ref!B63+Mayor!B63+CFO!B63+MB!B63+Infra!B63</f>
        <v>0</v>
      </c>
      <c r="C63" s="89">
        <f>+Cs!C63+Fin!C63+Rat!C63+MM!C63+Lib!C63+Pry!C63+Hal!C63+Cem!C63+Par!C63+EDv!D62+Str!C63+Ele!C63+Wat!C63+San!C63+Ref!C63+Mayor!C63+CFO!C63+MB!C63+Infra!C63</f>
        <v>0</v>
      </c>
      <c r="D63" s="89">
        <f>+Cs!D63+Fin!D63+Rat!D63+MM!D63+Lib!D63+Pry!D63+Hal!D63+Cem!D63+Par!D63+EDv!E62+Str!D63+Ele!D63+Wat!D63+San!D63+Ref!D63+Mayor!D63+CFO!D63+MB!D63+Infra!D63</f>
        <v>0</v>
      </c>
      <c r="E63" s="235">
        <f>+Cs!E63+Fin!E63+Rat!E63+MM!E63+Lib!E63+Pry!E63+Hal!E63+Cem!E63+Par!E63+EDv!F62+Str!E63+Ele!E63+Wat!E63+San!E63+Ref!E63+Mayor!E63+CFO!E63+MB!E63+Infra!E63</f>
        <v>0</v>
      </c>
      <c r="F63" s="235">
        <f>+Cs!F63+Fin!F63+Rat!F63+MM!F63+Lib!F63+Pry!F63+Hal!F63+Cem!F63+Par!F63+EDv!G62+Str!F63+Ele!F63+Wat!F63+San!F63+Ref!F63+Mayor!F63+CFO!F63+MB!F63+Infra!F63</f>
        <v>0</v>
      </c>
      <c r="G63" s="235">
        <f>+Cs!G63+Fin!G63+Rat!G63+MM!G63+Lib!G63+Pry!G63+Hal!G63+Cem!G63+Par!G63+EDv!H62+Str!G63+Ele!G63+Wat!G63+San!G63+Ref!G63+Mayor!G63+CFO!G63+MB!G63+Infra!G63</f>
        <v>0</v>
      </c>
      <c r="H63" s="66" t="s">
        <v>2713</v>
      </c>
      <c r="I63" s="66"/>
    </row>
    <row r="64" spans="1:9" x14ac:dyDescent="0.35">
      <c r="A64" s="66" t="s">
        <v>2827</v>
      </c>
      <c r="B64" s="89">
        <f>+Cs!B64+Fin!B64+Rat!B64+MM!B64+Lib!B64+Pry!B64+Hal!B64+Cem!B64+Par!B64+EDv!C63+Str!B64+Ele!B64+Wat!B64+San!B64+Ref!B64+Mayor!B64+CFO!B64+MB!B64+Infra!B64</f>
        <v>0</v>
      </c>
      <c r="C64" s="89">
        <f>+Cs!C64+Fin!C64+Rat!C64+MM!C64+Lib!C64+Pry!C64+Hal!C64+Cem!C64+Par!C64+EDv!D63+Str!C64+Ele!C64+Wat!C64+San!C64+Ref!C64+Mayor!C64+CFO!C64+MB!C64+Infra!C64</f>
        <v>0</v>
      </c>
      <c r="D64" s="89">
        <f>+Cs!D64+Fin!D64+Rat!D64+MM!D64+Lib!D64+Pry!D64+Hal!D64+Cem!D64+Par!D64+EDv!E63+Str!D64+Ele!D64+Wat!D64+San!D64+Ref!D64+Mayor!D64+CFO!D64+MB!D64+Infra!D64</f>
        <v>0</v>
      </c>
      <c r="E64" s="235">
        <f>+Cs!E64+Fin!E64+Rat!E64+MM!E64+Lib!E64+Pry!E64+Hal!E64+Cem!E64+Par!E64+EDv!F63+Str!E64+Ele!E64+Wat!E64+San!E64+Ref!E64+Mayor!E64+CFO!E64+MB!E64+Infra!E64</f>
        <v>-300000</v>
      </c>
      <c r="F64" s="235">
        <f>+Cs!F64+Fin!F64+Rat!F64+MM!F64+Lib!F64+Pry!F64+Hal!F64+Cem!F64+Par!F64+EDv!G63+Str!F64+Ele!F64+Wat!F64+San!F64+Ref!F64+Mayor!F64+CFO!F64+MB!F64+Infra!F64</f>
        <v>-500000</v>
      </c>
      <c r="G64" s="89">
        <f>+Cs!G64+Fin!G64+Rat!G64+MM!G64+Lib!G64+Pry!G64+Hal!G64+Cem!G64+Par!G64+EDv!H63+Str!G64+Ele!G64+Wat!G64+San!G64+Ref!G64+Mayor!G64+CFO!G64+MB!G64+Infra!G64</f>
        <v>0</v>
      </c>
      <c r="H64" s="66" t="s">
        <v>3467</v>
      </c>
      <c r="I64" s="66" t="s">
        <v>3468</v>
      </c>
    </row>
    <row r="65" spans="1:9" x14ac:dyDescent="0.35">
      <c r="A65" s="66" t="s">
        <v>2829</v>
      </c>
      <c r="B65" s="89">
        <f>+Cs!B65+Fin!B65+Rat!B65+MM!B65+Lib!B65+Pry!B65+Hal!B65+Cem!B65+Par!B65+EDv!C64+Str!B65+Ele!B65+Wat!B65+San!B65+Ref!B65+Mayor!B65+CFO!B65+MB!B65+Infra!B65</f>
        <v>-8087000</v>
      </c>
      <c r="C65" s="89">
        <f>+Cs!C65+Fin!C65+Rat!C65+MM!C65+Lib!C65+Pry!C65+Hal!C65+Cem!C65+Par!C65+EDv!D64+Str!C65+Ele!C65+Wat!C65+San!C65+Ref!C65+Mayor!C65+CFO!C65+MB!C65+Infra!C65</f>
        <v>-8087000</v>
      </c>
      <c r="D65" s="89">
        <f>+Cs!D65+Fin!D65+Rat!D65+MM!D65+Lib!D65+Pry!D65+Hal!D65+Cem!D65+Par!D65+EDv!E64+Str!D65+Ele!D65+Wat!D65+San!D65+Ref!D65+Mayor!D65+CFO!D65+MB!D65+Infra!D65</f>
        <v>-8087000</v>
      </c>
      <c r="E65" s="89">
        <f>+Cs!E65+Fin!E65+Rat!E65+MM!E65+Lib!E65+Pry!E65+Hal!E65+Cem!E65+Par!E65+EDv!F64+Str!E65+Ele!E65+Wat!E65+San!E65+Ref!E65+Mayor!E65+CFO!E65+MB!E65+Infra!E65</f>
        <v>-8065000</v>
      </c>
      <c r="F65" s="89">
        <f>+Cs!F65+Fin!F65+Rat!F65+MM!F65+Lib!F65+Pry!F65+Hal!F65+Cem!F65+Par!F65+EDv!G64+Str!F65+Ele!F65+Wat!F65+San!F65+Ref!F65+Mayor!F65+CFO!F65+MB!F65+Infra!F65</f>
        <v>-8352000</v>
      </c>
      <c r="G65" s="89">
        <f>+Cs!G65+Fin!G65+Rat!G65+MM!G65+Lib!G65+Pry!G65+Hal!G65+Cem!G65+Par!G65+EDv!H64+Str!G65+Ele!G65+Wat!G65+San!G65+Ref!G65+Mayor!G65+CFO!G65+MB!G65+Infra!G65</f>
        <v>-8562000</v>
      </c>
      <c r="H65" s="66" t="s">
        <v>3467</v>
      </c>
      <c r="I65" s="66" t="s">
        <v>3466</v>
      </c>
    </row>
    <row r="66" spans="1:9" x14ac:dyDescent="0.35">
      <c r="A66" s="66" t="s">
        <v>3415</v>
      </c>
      <c r="B66" s="89">
        <f>+Cs!B66+Fin!B66+Rat!B66+MM!B66+Lib!B66+Pry!B66+Hal!B66+Cem!B66+Par!B66+EDv!C65+Str!B66+Ele!B66+Wat!B66+San!B66+Ref!B66+Mayor!B66+CFO!B66+MB!B66+Infra!B66</f>
        <v>0</v>
      </c>
      <c r="C66" s="89">
        <f>+Cs!C66+Fin!C66+Rat!C66+MM!C66+Lib!C66+Pry!C66+Hal!C66+Cem!C66+Par!C66+EDv!D65+Str!C66+Ele!C66+Wat!C66+San!C66+Ref!C66+Mayor!C66+CFO!C66+MB!C66+Infra!C66</f>
        <v>0</v>
      </c>
      <c r="D66" s="89">
        <f>+Cs!D66+Fin!D66+Rat!D66+MM!D66+Lib!D66+Pry!D66+Hal!D66+Cem!D66+Par!D66+EDv!E65+Str!D66+Ele!D66+Wat!D66+San!D66+Ref!D66+Mayor!D66+CFO!D66+MB!D66+Infra!D66</f>
        <v>0</v>
      </c>
      <c r="E66" s="89">
        <f>+Cs!E66+Fin!E66+Rat!E66+MM!E66+Lib!E66+Pry!E66+Hal!E66+Cem!E66+Par!E66+EDv!F65+Str!E66+Ele!E66+Wat!E66+San!E66+Ref!E66+Mayor!E66+CFO!E66+MB!E66+Infra!E66</f>
        <v>0</v>
      </c>
      <c r="F66" s="89">
        <f>+Cs!F66+Fin!F66+Rat!F66+MM!F66+Lib!F66+Pry!F66+Hal!F66+Cem!F66+Par!F66+EDv!G65+Str!F66+Ele!F66+Wat!F66+San!F66+Ref!F66+Mayor!F66+CFO!F66+MB!F66+Infra!F66</f>
        <v>0</v>
      </c>
      <c r="G66" s="89">
        <f>+Cs!G66+Fin!G66+Rat!G66+MM!G66+Lib!G66+Pry!G66+Hal!G66+Cem!G66+Par!G66+EDv!H65+Str!G66+Ele!G66+Wat!G66+San!G66+Ref!G66+Mayor!G66+CFO!G66+MB!G66+Infra!G66</f>
        <v>0</v>
      </c>
      <c r="H66" s="66" t="s">
        <v>3464</v>
      </c>
      <c r="I66" s="66" t="s">
        <v>2619</v>
      </c>
    </row>
    <row r="67" spans="1:9" x14ac:dyDescent="0.35">
      <c r="A67" s="66" t="s">
        <v>3484</v>
      </c>
      <c r="B67" s="89">
        <f>+Cs!B67+Fin!B67+Rat!B67+MM!B67+Lib!B67+Pry!B67+Hal!B67+Cem!B67+Par!B67+EDv!C66+Str!B67+Ele!B67+Wat!B67+San!B67+Ref!B67+Mayor!B67+CFO!B67+MB!B67+Infra!B67</f>
        <v>0</v>
      </c>
      <c r="C67" s="89">
        <f>+Cs!C67+Fin!C67+Rat!C67+MM!C67+Lib!C67+Pry!C67+Hal!C67+Cem!C67+Par!C67+EDv!D66+Str!C67+Ele!C67+Wat!C67+San!C67+Ref!C67+Mayor!C67+CFO!C67+MB!C67+Infra!C67</f>
        <v>0</v>
      </c>
      <c r="D67" s="89">
        <f>+Cs!D67+Fin!D67+Rat!D67+MM!D67+Lib!D67+Pry!D67+Hal!D67+Cem!D67+Par!D67+EDv!E66+Str!D67+Ele!D67+Wat!D67+San!D67+Ref!D67+Mayor!D67+CFO!D67+MB!D67+Infra!D67</f>
        <v>0</v>
      </c>
      <c r="E67" s="89">
        <f>+Cs!E67+Fin!E67+Rat!E67+MM!E67+Lib!E67+Pry!E67+Hal!E67+Cem!E67+Par!E67+EDv!F66+Str!E67+Ele!E67+Wat!E67+San!E67+Ref!E67+Mayor!E67+CFO!E67+MB!E67+Infra!E67</f>
        <v>0</v>
      </c>
      <c r="F67" s="89">
        <f>+Cs!F67+Fin!F67+Rat!F67+MM!F67+Lib!F67+Pry!F67+Hal!F67+Cem!F67+Par!F67+EDv!G66+Str!F67+Ele!F67+Wat!F67+San!F67+Ref!F67+Mayor!F67+CFO!F67+MB!F67+Infra!F67</f>
        <v>0</v>
      </c>
      <c r="G67" s="89">
        <f>+Cs!G67+Fin!G67+Rat!G67+MM!G67+Lib!G67+Pry!G67+Hal!G67+Cem!G67+Par!G67+EDv!H66+Str!G67+Ele!G67+Wat!G67+San!G67+Ref!G67+Mayor!G67+CFO!G67+MB!G67+Infra!G67</f>
        <v>0</v>
      </c>
      <c r="H67" s="66" t="s">
        <v>3464</v>
      </c>
      <c r="I67" s="66" t="s">
        <v>2619</v>
      </c>
    </row>
    <row r="68" spans="1:9" x14ac:dyDescent="0.35">
      <c r="A68" s="66" t="s">
        <v>3480</v>
      </c>
      <c r="B68" s="89">
        <f>+Cs!B68+Fin!B68+Rat!B68+MM!B68+Lib!B68+Pry!B68+Hal!B68+Cem!B68+Par!B68+EDv!C67+Str!B68+Ele!B68+Wat!B68+San!B68+Ref!B68+Mayor!B68+CFO!B68+MB!B68+Infra!B68</f>
        <v>1047900</v>
      </c>
      <c r="C68" s="89">
        <f>+Cs!C68+Fin!C68+Rat!C68+MM!C68+Lib!C68+Pry!C68+Hal!C68+Cem!C68+Par!C68+EDv!D67+Str!C68+Ele!C68+Wat!C68+San!C68+Ref!C68+Mayor!C68+CFO!C68+MB!C68+Infra!C68</f>
        <v>1047900</v>
      </c>
      <c r="D68" s="89">
        <f>+Cs!D68+Fin!D68+Rat!D68+MM!D68+Lib!D68+Pry!D68+Hal!D68+Cem!D68+Par!D68+EDv!E67+Str!D68+Ele!D68+Wat!D68+San!D68+Ref!D68+Mayor!D68+CFO!D68+MB!D68+Infra!D68</f>
        <v>0</v>
      </c>
      <c r="E68" s="89">
        <f>+Cs!E68+Fin!E68+Rat!E68+MM!E68+Lib!E68+Pry!E68+Hal!E68+Cem!E68+Par!E68+EDv!F67+Str!E68+Ele!E68+Wat!E68+San!E68+Ref!E68+Mayor!E68+CFO!E68+MB!E68+Infra!E68</f>
        <v>0</v>
      </c>
      <c r="F68" s="89">
        <f>+Cs!F68+Fin!F68+Rat!F68+MM!F68+Lib!F68+Pry!F68+Hal!F68+Cem!F68+Par!F68+EDv!G67+Str!F68+Ele!F68+Wat!F68+San!F68+Ref!F68+Mayor!F68+CFO!F68+MB!F68+Infra!F68</f>
        <v>0</v>
      </c>
      <c r="G68" s="89">
        <f>+Cs!G68+Fin!G68+Rat!G68+MM!G68+Lib!G68+Pry!G68+Hal!G68+Cem!G68+Par!G68+EDv!H67+Str!G68+Ele!G68+Wat!G68+San!G68+Ref!G68+Mayor!G68+CFO!G68+MB!G68+Infra!G68</f>
        <v>0</v>
      </c>
      <c r="H68" s="66" t="s">
        <v>3464</v>
      </c>
      <c r="I68" s="66" t="s">
        <v>2619</v>
      </c>
    </row>
    <row r="69" spans="1:9" x14ac:dyDescent="0.35">
      <c r="A69" s="66" t="s">
        <v>3485</v>
      </c>
      <c r="B69" s="89">
        <f>+Cs!B69+Fin!B69+Rat!B69+MM!B69+Lib!B69+Pry!B69+Hal!B69+Cem!B69+Par!B69+EDv!C68+Str!B69+Ele!B69+Wat!B69+San!B69+Ref!B69+Mayor!B69+CFO!B69+MB!B69+Infra!B69</f>
        <v>51000</v>
      </c>
      <c r="C69" s="89">
        <f>+Cs!C69+Fin!C69+Rat!C69+MM!C69+Lib!C69+Pry!C69+Hal!C69+Cem!C69+Par!C69+EDv!D68+Str!C69+Ele!C69+Wat!C69+San!C69+Ref!C69+Mayor!C69+CFO!C69+MB!C69+Infra!C69</f>
        <v>51000</v>
      </c>
      <c r="D69" s="89">
        <f>+Cs!D69+Fin!D69+Rat!D69+MM!D69+Lib!D69+Pry!D69+Hal!D69+Cem!D69+Par!D69+EDv!E68+Str!D69+Ele!D69+Wat!D69+San!D69+Ref!D69+Mayor!D69+CFO!D69+MB!D69+Infra!D69</f>
        <v>51000</v>
      </c>
      <c r="E69" s="235">
        <f>+Cs!E69+Fin!E69+Rat!E69+MM!E69+Lib!E69+Pry!E69+Hal!E69+Cem!E69+Par!E69+EDv!F68+Str!E69+Ele!E69+Wat!E69+San!E69+Ref!E69+Mayor!E69+CFO!E69+MB!E69+Infra!E69</f>
        <v>59000</v>
      </c>
      <c r="F69" s="235">
        <f>+Cs!F69+Fin!F69+Rat!F69+MM!F69+Lib!F69+Pry!F69+Hal!F69+Cem!F69+Par!F69+EDv!G68+Str!F69+Ele!F69+Wat!F69+San!F69+Ref!F69+Mayor!F69+CFO!F69+MB!F69+Infra!F69</f>
        <v>65000</v>
      </c>
      <c r="G69" s="235">
        <f>+Cs!G69+Fin!G69+Rat!G69+MM!G69+Lib!G69+Pry!G69+Hal!G69+Cem!G69+Par!G69+EDv!H68+Str!G69+Ele!G69+Wat!G69+San!G69+Ref!G69+Mayor!G69+CFO!G69+MB!G69+Infra!G69</f>
        <v>68000</v>
      </c>
      <c r="H69" s="66" t="s">
        <v>2707</v>
      </c>
      <c r="I69" s="66" t="s">
        <v>3498</v>
      </c>
    </row>
    <row r="70" spans="1:9" x14ac:dyDescent="0.35">
      <c r="A70" s="66" t="s">
        <v>3483</v>
      </c>
      <c r="B70" s="89">
        <f>+Cs!B70+Fin!B70+Rat!B70+MM!B70+Lib!B70+Pry!B70+Hal!B70+Cem!B70+Par!B70+EDv!C69+Str!B70+Ele!B70+Wat!B70+San!B70+Ref!B70+Mayor!B70+CFO!B70+MB!B70+Infra!B70</f>
        <v>0</v>
      </c>
      <c r="C70" s="89">
        <f>+Cs!C70+Fin!C70+Rat!C70+MM!C70+Lib!C70+Pry!C70+Hal!C70+Cem!C70+Par!C70+EDv!D69+Str!C70+Ele!C70+Wat!C70+San!C70+Ref!C70+Mayor!C70+CFO!C70+MB!C70+Infra!C70</f>
        <v>0</v>
      </c>
      <c r="D70" s="89">
        <f>+Cs!D70+Fin!D70+Rat!D70+MM!D70+Lib!D70+Pry!D70+Hal!D70+Cem!D70+Par!D70+EDv!E69+Str!D70+Ele!D70+Wat!D70+San!D70+Ref!D70+Mayor!D70+CFO!D70+MB!D70+Infra!D70</f>
        <v>0</v>
      </c>
      <c r="E70" s="89">
        <f>+Cs!E70+Fin!E70+Rat!E70+MM!E70+Lib!E70+Pry!E70+Hal!E70+Cem!E70+Par!E70+EDv!F69+Str!E70+Ele!E70+Wat!E70+San!E70+Ref!E70+Mayor!E70+CFO!E70+MB!E70+Infra!E70</f>
        <v>0</v>
      </c>
      <c r="F70" s="89">
        <f>+Cs!F70+Fin!F70+Rat!F70+MM!F70+Lib!F70+Pry!F70+Hal!F70+Cem!F70+Par!F70+EDv!G69+Str!F70+Ele!F70+Wat!F70+San!F70+Ref!F70+Mayor!F70+CFO!F70+MB!F70+Infra!F70</f>
        <v>0</v>
      </c>
      <c r="G70" s="89">
        <f>+Cs!G70+Fin!G70+Rat!G70+MM!G70+Lib!G70+Pry!G70+Hal!G70+Cem!G70+Par!G70+EDv!H69+Str!G70+Ele!G70+Wat!G70+San!G70+Ref!G70+Mayor!G70+CFO!G70+MB!G70+Infra!G70</f>
        <v>0</v>
      </c>
      <c r="H70" s="66" t="s">
        <v>3465</v>
      </c>
      <c r="I70" s="66" t="s">
        <v>3498</v>
      </c>
    </row>
    <row r="71" spans="1:9" x14ac:dyDescent="0.35">
      <c r="A71" s="66" t="s">
        <v>3482</v>
      </c>
      <c r="B71" s="89">
        <f>+Cs!B71+Fin!B71+Rat!B71+MM!B71+Lib!B71+Pry!B71+Hal!B71+Cem!B71+Par!B71+EDv!C70+Str!B71+Ele!B71+Wat!B71+San!B71+Ref!B71+Mayor!B71+CFO!B71+MB!B71+Infra!B71</f>
        <v>0</v>
      </c>
      <c r="C71" s="89">
        <f>+Cs!C71+Fin!C71+Rat!C71+MM!C71+Lib!C71+Pry!C71+Hal!C71+Cem!C71+Par!C71+EDv!D70+Str!C71+Ele!C71+Wat!C71+San!C71+Ref!C71+Mayor!C71+CFO!C71+MB!C71+Infra!C71</f>
        <v>0</v>
      </c>
      <c r="D71" s="89">
        <f>+Cs!D71+Fin!D71+Rat!D71+MM!D71+Lib!D71+Pry!D71+Hal!D71+Cem!D71+Par!D71+EDv!E70+Str!D71+Ele!D71+Wat!D71+San!D71+Ref!D71+Mayor!D71+CFO!D71+MB!D71+Infra!D71</f>
        <v>0</v>
      </c>
      <c r="E71" s="89">
        <f>+Cs!E71+Fin!E71+Rat!E71+MM!E71+Lib!E71+Pry!E71+Hal!E71+Cem!E71+Par!E71+EDv!F70+Str!E71+Ele!E71+Wat!E71+San!E71+Ref!E71+Mayor!E71+CFO!E71+MB!E71+Infra!E71</f>
        <v>0</v>
      </c>
      <c r="F71" s="89">
        <f>+Cs!F71+Fin!F71+Rat!F71+MM!F71+Lib!F71+Pry!F71+Hal!F71+Cem!F71+Par!F71+EDv!G70+Str!F71+Ele!F71+Wat!F71+San!F71+Ref!F71+Mayor!F71+CFO!F71+MB!F71+Infra!F71</f>
        <v>0</v>
      </c>
      <c r="G71" s="89">
        <f>+Cs!G71+Fin!G71+Rat!G71+MM!G71+Lib!G71+Pry!G71+Hal!G71+Cem!G71+Par!G71+EDv!H70+Str!G71+Ele!G71+Wat!G71+San!G71+Ref!G71+Mayor!G71+CFO!G71+MB!G71+Infra!G71</f>
        <v>0</v>
      </c>
      <c r="H71" s="66" t="s">
        <v>3465</v>
      </c>
      <c r="I71" s="66" t="s">
        <v>3498</v>
      </c>
    </row>
    <row r="72" spans="1:9" x14ac:dyDescent="0.35">
      <c r="A72" s="66" t="s">
        <v>3481</v>
      </c>
      <c r="B72" s="89">
        <f>+Cs!B72+Fin!B72+Rat!B72+MM!B72+Lib!B72+Pry!B72+Hal!B72+Cem!B72+Par!B72+EDv!C71+Str!B72+Ele!B72+Wat!B72+San!B72+Ref!B72+Mayor!B72+CFO!B72+MB!B72+Infra!B72</f>
        <v>301100</v>
      </c>
      <c r="C72" s="89">
        <f>+Cs!C72+Fin!C72+Rat!C72+MM!C72+Lib!C72+Pry!C72+Hal!C72+Cem!C72+Par!C72+EDv!D71+Str!C72+Ele!C72+Wat!C72+San!C72+Ref!C72+Mayor!C72+CFO!C72+MB!C72+Infra!C72</f>
        <v>301100</v>
      </c>
      <c r="D72" s="89">
        <f>+Cs!D72+Fin!D72+Rat!D72+MM!D72+Lib!D72+Pry!D72+Hal!D72+Cem!D72+Par!D72+EDv!E71+Str!D72+Ele!D72+Wat!D72+San!D72+Ref!D72+Mayor!D72+CFO!D72+MB!D72+Infra!D72</f>
        <v>0</v>
      </c>
      <c r="E72" s="235">
        <f>+Cs!E72+Fin!E72+Rat!E72+MM!E72+Lib!E72+Pry!E72+Hal!E72+Cem!E72+Par!E72+EDv!F71+Str!E72+Ele!E72+Wat!E72+San!E72+Ref!E72+Mayor!E72+CFO!E72+MB!E72+Infra!E72</f>
        <v>0</v>
      </c>
      <c r="F72" s="235">
        <f>+Cs!F72+Fin!F72+Rat!F72+MM!F72+Lib!F72+Pry!F72+Hal!F72+Cem!F72+Par!F72+EDv!G71+Str!F72+Ele!F72+Wat!F72+San!F72+Ref!F72+Mayor!F72+CFO!F72+MB!F72+Infra!F72</f>
        <v>0</v>
      </c>
      <c r="G72" s="235">
        <f>+Cs!G72+Fin!G72+Rat!G72+MM!G72+Lib!G72+Pry!G72+Hal!G72+Cem!G72+Par!G72+EDv!H71+Str!G72+Ele!G72+Wat!G72+San!G72+Ref!G72+Mayor!G72+CFO!G72+MB!G72+Infra!G72</f>
        <v>0</v>
      </c>
      <c r="H72" s="66" t="s">
        <v>3464</v>
      </c>
      <c r="I72" s="66" t="s">
        <v>2620</v>
      </c>
    </row>
    <row r="73" spans="1:9" x14ac:dyDescent="0.35">
      <c r="A73" s="66" t="s">
        <v>2971</v>
      </c>
      <c r="B73" s="89">
        <f>+Cs!B73+Fin!B73+Rat!B73+MM!B73+Lib!B73+Pry!B73+Hal!B73+Cem!B73+Par!B73+EDv!C72+Str!B73+Ele!B73+Wat!B73+San!B73+Ref!B73+Mayor!B73+CFO!B73+MB!B73+Infra!B73</f>
        <v>-1000</v>
      </c>
      <c r="C73" s="89">
        <f>+Cs!C73+Fin!C73+Rat!C73+MM!C73+Lib!C73+Pry!C73+Hal!C73+Cem!C73+Par!C73+EDv!D72+Str!C73+Ele!C73+Wat!C73+San!C73+Ref!C73+Mayor!C73+CFO!C73+MB!C73+Infra!C73</f>
        <v>-1000</v>
      </c>
      <c r="D73" s="89">
        <f>+Cs!D73+Fin!D73+Rat!D73+MM!D73+Lib!D73+Pry!D73+Hal!D73+Cem!D73+Par!D73+EDv!E72+Str!D73+Ele!D73+Wat!D73+San!D73+Ref!D73+Mayor!D73+CFO!D73+MB!D73+Infra!D73</f>
        <v>-100</v>
      </c>
      <c r="E73" s="235">
        <f>+Cs!E73+Fin!E73+Rat!E73+MM!E73+Lib!E73+Pry!E73+Hal!E73+Cem!E73+Par!E73+EDv!F72+Str!E73+Ele!E73+Wat!E73+San!E73+Ref!E73+Mayor!E73+CFO!E73+MB!E73+Infra!E73</f>
        <v>0</v>
      </c>
      <c r="F73" s="235">
        <f>+Cs!F73+Fin!F73+Rat!F73+MM!F73+Lib!F73+Pry!F73+Hal!F73+Cem!F73+Par!F73+EDv!G72+Str!F73+Ele!F73+Wat!F73+San!F73+Ref!F73+Mayor!F73+CFO!F73+MB!F73+Infra!F73</f>
        <v>0</v>
      </c>
      <c r="G73" s="235">
        <f>+Cs!G73+Fin!G73+Rat!G73+MM!G73+Lib!G73+Pry!G73+Hal!G73+Cem!G73+Par!G73+EDv!H72+Str!G73+Ele!G73+Wat!G73+San!G73+Ref!G73+Mayor!G73+CFO!G73+MB!G73+Infra!G73</f>
        <v>0</v>
      </c>
      <c r="H73" s="66" t="s">
        <v>2707</v>
      </c>
      <c r="I73" s="66"/>
    </row>
    <row r="74" spans="1:9" x14ac:dyDescent="0.35">
      <c r="A74" s="66" t="s">
        <v>2840</v>
      </c>
      <c r="B74" s="89">
        <f>+Cs!B74+Fin!B74+Rat!B74+MM!B74+Lib!B74+Pry!B74+Hal!B74+Cem!B74+Par!B74+EDv!C73+Str!B74+Ele!B74+Wat!B74+San!B74+Ref!B74+Mayor!B74+CFO!B74+MB!B74+Infra!B74</f>
        <v>-75000</v>
      </c>
      <c r="C74" s="89">
        <f>+Cs!C74+Fin!C74+Rat!C74+MM!C74+Lib!C74+Pry!C74+Hal!C74+Cem!C74+Par!C74+EDv!D73+Str!C74+Ele!C74+Wat!C74+San!C74+Ref!C74+Mayor!C74+CFO!C74+MB!C74+Infra!C74</f>
        <v>-75000</v>
      </c>
      <c r="D74" s="89">
        <f>+Cs!D74+Fin!D74+Rat!D74+MM!D74+Lib!D74+Pry!D74+Hal!D74+Cem!D74+Par!D74+EDv!E73+Str!D74+Ele!D74+Wat!D74+San!D74+Ref!D74+Mayor!D74+CFO!D74+MB!D74+Infra!D74</f>
        <v>-26517.33</v>
      </c>
      <c r="E74" s="235">
        <f>+Cs!E74+Fin!E74+Rat!E74+MM!E74+Lib!E74+Pry!E74+Hal!E74+Cem!E74+Par!E74+EDv!F73+Str!E74+Ele!E74+Wat!E74+San!E74+Ref!E74+Mayor!E74+CFO!E74+MB!E74+Infra!E74</f>
        <v>-28000</v>
      </c>
      <c r="F74" s="235">
        <f>+Cs!F74+Fin!F74+Rat!F74+MM!F74+Lib!F74+Pry!F74+Hal!F74+Cem!F74+Par!F74+EDv!G73+Str!F74+Ele!F74+Wat!F74+San!F74+Ref!F74+Mayor!F74+CFO!F74+MB!F74+Infra!F74</f>
        <v>-29300</v>
      </c>
      <c r="G74" s="235">
        <f>+Cs!G74+Fin!G74+Rat!G74+MM!G74+Lib!G74+Pry!G74+Hal!G74+Cem!G74+Par!G74+EDv!H73+Str!G74+Ele!G74+Wat!G74+San!G74+Ref!G74+Mayor!G74+CFO!G74+MB!G74+Infra!G74</f>
        <v>-30700</v>
      </c>
      <c r="H74" s="66" t="s">
        <v>2713</v>
      </c>
      <c r="I74" s="66"/>
    </row>
    <row r="75" spans="1:9" x14ac:dyDescent="0.35">
      <c r="A75" s="66" t="s">
        <v>153</v>
      </c>
      <c r="B75" s="89">
        <f>+Cs!B75+Fin!B75+Rat!B75+MM!B75+Lib!B75+Pry!B75+Hal!B75+Cem!B75+Par!B75+EDv!C74+Str!B75+Ele!B75+Wat!B75+San!B75+Ref!B75+Mayor!B75+CFO!B75+MB!B75+Infra!B75</f>
        <v>0</v>
      </c>
      <c r="C75" s="89">
        <f>+Cs!C75+Fin!C75+Rat!C75+MM!C75+Lib!C75+Pry!C75+Hal!C75+Cem!C75+Par!C75+EDv!D74+Str!C75+Ele!C75+Wat!C75+San!C75+Ref!C75+Mayor!C75+CFO!C75+MB!C75+Infra!C75</f>
        <v>0</v>
      </c>
      <c r="D75" s="89">
        <f>+Cs!D75+Fin!D75+Rat!D75+MM!D75+Lib!D75+Pry!D75+Hal!D75+Cem!D75+Par!D75+EDv!E74+Str!D75+Ele!D75+Wat!D75+San!D75+Ref!D75+Mayor!D75+CFO!D75+MB!D75+Infra!D75</f>
        <v>0</v>
      </c>
      <c r="E75" s="235">
        <f>+Cs!E75+Fin!E75+Rat!E75+MM!E75+Lib!E75+Pry!E75+Hal!E75+Cem!E75+Par!E75+EDv!F74+Str!E75+Ele!E75+Wat!E75+San!E75+Ref!E75+Mayor!E75+CFO!E75+MB!E75+Infra!E75</f>
        <v>0</v>
      </c>
      <c r="F75" s="235">
        <f>+Cs!F75+Fin!F75+Rat!F75+MM!F75+Lib!F75+Pry!F75+Hal!F75+Cem!F75+Par!F75+EDv!G74+Str!F75+Ele!F75+Wat!F75+San!F75+Ref!F75+Mayor!F75+CFO!F75+MB!F75+Infra!F75</f>
        <v>0</v>
      </c>
      <c r="G75" s="235">
        <f>+Cs!G75+Fin!G75+Rat!G75+MM!G75+Lib!G75+Pry!G75+Hal!G75+Cem!G75+Par!G75+EDv!H74+Str!G75+Ele!G75+Wat!G75+San!G75+Ref!G75+Mayor!G75+CFO!G75+MB!G75+Infra!G75</f>
        <v>0</v>
      </c>
      <c r="H75" s="66" t="s">
        <v>2713</v>
      </c>
      <c r="I75" s="66"/>
    </row>
    <row r="76" spans="1:9" x14ac:dyDescent="0.35">
      <c r="A76" s="66" t="s">
        <v>2897</v>
      </c>
      <c r="B76" s="89">
        <f>+Cs!B76+Fin!B76+Rat!B76+MM!B76+Lib!B76+Pry!B76+Hal!B76+Cem!B76+Par!B76+EDv!C75+Str!B76+Ele!B76+Wat!B76+San!B76+Ref!B76+Mayor!B76+CFO!B76+MB!B76+Infra!B76</f>
        <v>-6000</v>
      </c>
      <c r="C76" s="89">
        <f>+Cs!C76+Fin!C76+Rat!C76+MM!C76+Lib!C76+Pry!C76+Hal!C76+Cem!C76+Par!C76+EDv!D75+Str!C76+Ele!C76+Wat!C76+San!C76+Ref!C76+Mayor!C76+CFO!C76+MB!C76+Infra!C76</f>
        <v>-6000</v>
      </c>
      <c r="D76" s="89">
        <f>+Cs!D76+Fin!D76+Rat!D76+MM!D76+Lib!D76+Pry!D76+Hal!D76+Cem!D76+Par!D76+EDv!E75+Str!D76+Ele!D76+Wat!D76+San!D76+Ref!D76+Mayor!D76+CFO!D76+MB!D76+Infra!D76</f>
        <v>-6000</v>
      </c>
      <c r="E76" s="235">
        <f>+Cs!E76+Fin!E76+Rat!E76+MM!E76+Lib!E76+Pry!E76+Hal!E76+Cem!E76+Par!E76+EDv!F75+Str!E76+Ele!E76+Wat!E76+San!E76+Ref!E76+Mayor!E76+CFO!E76+MB!E76+Infra!E76</f>
        <v>-6000</v>
      </c>
      <c r="F76" s="235">
        <f>+Cs!F76+Fin!F76+Rat!F76+MM!F76+Lib!F76+Pry!F76+Hal!F76+Cem!F76+Par!F76+EDv!G75+Str!F76+Ele!F76+Wat!F76+San!F76+Ref!F76+Mayor!F76+CFO!F76+MB!F76+Infra!F76</f>
        <v>-6000</v>
      </c>
      <c r="G76" s="235">
        <f>+Cs!G76+Fin!G76+Rat!G76+MM!G76+Lib!G76+Pry!G76+Hal!G76+Cem!G76+Par!G76+EDv!H75+Str!G76+Ele!G76+Wat!G76+San!G76+Ref!G76+Mayor!G76+CFO!G76+MB!G76+Infra!G76</f>
        <v>-6000</v>
      </c>
      <c r="H76" s="66" t="s">
        <v>2707</v>
      </c>
      <c r="I76" s="66"/>
    </row>
    <row r="77" spans="1:9" x14ac:dyDescent="0.35">
      <c r="A77" s="66" t="s">
        <v>2972</v>
      </c>
      <c r="B77" s="89">
        <f>+Cs!B77+Fin!B77+Rat!B77+MM!B77+Lib!B77+Pry!B77+Hal!B77+Cem!B77+Par!B77+EDv!C76+Str!B77+Ele!B77+Wat!B77+San!B77+Ref!B77+Mayor!B77+CFO!B77+MB!B77+Infra!B77</f>
        <v>-86000</v>
      </c>
      <c r="C77" s="89">
        <f>+Cs!C77+Fin!C77+Rat!C77+MM!C77+Lib!C77+Pry!C77+Hal!C77+Cem!C77+Par!C77+EDv!D76+Str!C77+Ele!C77+Wat!C77+San!C77+Ref!C77+Mayor!C77+CFO!C77+MB!C77+Infra!C77</f>
        <v>0</v>
      </c>
      <c r="D77" s="89">
        <f>+Cs!D77+Fin!D77+Rat!D77+MM!D77+Lib!D77+Pry!D77+Hal!D77+Cem!D77+Par!D77+EDv!E76+Str!D77+Ele!D77+Wat!D77+San!D77+Ref!D77+Mayor!D77+CFO!D77+MB!D77+Infra!D77</f>
        <v>-82000</v>
      </c>
      <c r="E77" s="235">
        <f>+Cs!E77+Fin!E77+Rat!E77+MM!E77+Lib!E77+Pry!E77+Hal!E77+Cem!E77+Par!E77+EDv!F76+Str!E77+Ele!E77+Wat!E77+San!E77+Ref!E77+Mayor!E77+CFO!E77+MB!E77+Infra!E77</f>
        <v>-92000</v>
      </c>
      <c r="F77" s="235">
        <f>+Cs!F77+Fin!F77+Rat!F77+MM!F77+Lib!F77+Pry!F77+Hal!F77+Cem!F77+Par!F77+EDv!G76+Str!F77+Ele!F77+Wat!F77+San!F77+Ref!F77+Mayor!F77+CFO!F77+MB!F77+Infra!F77</f>
        <v>-96300</v>
      </c>
      <c r="G77" s="235">
        <f>+Cs!G77+Fin!G77+Rat!G77+MM!G77+Lib!G77+Pry!G77+Hal!G77+Cem!G77+Par!G77+EDv!H76+Str!G77+Ele!G77+Wat!G77+San!G77+Ref!G77+Mayor!G77+CFO!G77+MB!G77+Infra!G77</f>
        <v>-100800</v>
      </c>
      <c r="H77" s="66" t="s">
        <v>3495</v>
      </c>
      <c r="I77" s="66"/>
    </row>
    <row r="78" spans="1:9" x14ac:dyDescent="0.35">
      <c r="A78" s="66" t="s">
        <v>2938</v>
      </c>
      <c r="B78" s="89">
        <f>+Cs!B78+Fin!B78+Rat!B78+MM!B78+Lib!B78+Pry!B78+Hal!B78+Cem!B78+Par!B78+EDv!C77+Str!B78+Ele!B78+Wat!B78+San!B78+Ref!B78+Mayor!B78+CFO!B78+MB!B78+Infra!B78</f>
        <v>-21800</v>
      </c>
      <c r="C78" s="89">
        <f>+Cs!C78+Fin!C78+Rat!C78+MM!C78+Lib!C78+Pry!C78+Hal!C78+Cem!C78+Par!C78+EDv!D77+Str!C78+Ele!C78+Wat!C78+San!C78+Ref!C78+Mayor!C78+CFO!C78+MB!C78+Infra!C78</f>
        <v>-21800</v>
      </c>
      <c r="D78" s="89">
        <f>+Cs!D78+Fin!D78+Rat!D78+MM!D78+Lib!D78+Pry!D78+Hal!D78+Cem!D78+Par!D78+EDv!E77+Str!D78+Ele!D78+Wat!D78+San!D78+Ref!D78+Mayor!D78+CFO!D78+MB!D78+Infra!D78</f>
        <v>-19100</v>
      </c>
      <c r="E78" s="235">
        <f>+Cs!E78+Fin!E78+Rat!E78+MM!E78+Lib!E78+Pry!E78+Hal!E78+Cem!E78+Par!E78+EDv!F77+Str!E78+Ele!E78+Wat!E78+San!E78+Ref!E78+Mayor!E78+CFO!E78+MB!E78+Infra!E78</f>
        <v>-21800</v>
      </c>
      <c r="F78" s="235">
        <f>+Cs!F78+Fin!F78+Rat!F78+MM!F78+Lib!F78+Pry!F78+Hal!F78+Cem!F78+Par!F78+EDv!G77+Str!F78+Ele!F78+Wat!F78+San!F78+Ref!F78+Mayor!F78+CFO!F78+MB!F78+Infra!F78</f>
        <v>-23000</v>
      </c>
      <c r="G78" s="235">
        <f>+Cs!G78+Fin!G78+Rat!G78+MM!G78+Lib!G78+Pry!G78+Hal!G78+Cem!G78+Par!G78+EDv!H77+Str!G78+Ele!G78+Wat!G78+San!G78+Ref!G78+Mayor!G78+CFO!G78+MB!G78+Infra!G78</f>
        <v>-24300</v>
      </c>
      <c r="H78" s="66" t="s">
        <v>2707</v>
      </c>
      <c r="I78" s="66"/>
    </row>
    <row r="79" spans="1:9" x14ac:dyDescent="0.35">
      <c r="A79" s="66" t="s">
        <v>2948</v>
      </c>
      <c r="B79" s="89">
        <f>+Cs!B79+Fin!B79+Rat!B79+MM!B79+Lib!B79+Pry!B79+Hal!B79+Cem!B79+Par!B79+EDv!C78+Str!B79+Ele!B79+Wat!B79+San!B79+Ref!B79+Mayor!B79+CFO!B79+MB!B79+Infra!B79</f>
        <v>0</v>
      </c>
      <c r="C79" s="89">
        <f>+Cs!C79+Fin!C79+Rat!C79+MM!C79+Lib!C79+Pry!C79+Hal!C79+Cem!C79+Par!C79+EDv!D78+Str!C79+Ele!C79+Wat!C79+San!C79+Ref!C79+Mayor!C79+CFO!C79+MB!C79+Infra!C79</f>
        <v>0</v>
      </c>
      <c r="D79" s="89">
        <f>+Cs!D79+Fin!D79+Rat!D79+MM!D79+Lib!D79+Pry!D79+Hal!D79+Cem!D79+Par!D79+EDv!E78+Str!D79+Ele!D79+Wat!D79+San!D79+Ref!D79+Mayor!D79+CFO!D79+MB!D79+Infra!D79</f>
        <v>0</v>
      </c>
      <c r="E79" s="235">
        <f>+Cs!E79+Fin!E79+Rat!E79+MM!E79+Lib!E79+Pry!E79+Hal!E79+Cem!E79+Par!E79+EDv!F78+Str!E79+Ele!E79+Wat!E79+San!E79+Ref!E79+Mayor!E79+CFO!E79+MB!E79+Infra!E79</f>
        <v>0</v>
      </c>
      <c r="F79" s="235">
        <f>+Cs!F79+Fin!F79+Rat!F79+MM!F79+Lib!F79+Pry!F79+Hal!F79+Cem!F79+Par!F79+EDv!G78+Str!F79+Ele!F79+Wat!F79+San!F79+Ref!F79+Mayor!F79+CFO!F79+MB!F79+Infra!F79</f>
        <v>0</v>
      </c>
      <c r="G79" s="235">
        <f>+Cs!G79+Fin!G79+Rat!G79+MM!G79+Lib!G79+Pry!G79+Hal!G79+Cem!G79+Par!G79+EDv!H78+Str!G79+Ele!G79+Wat!G79+San!G79+Ref!G79+Mayor!G79+CFO!G79+MB!G79+Infra!G79</f>
        <v>0</v>
      </c>
      <c r="H79" s="66" t="s">
        <v>2715</v>
      </c>
      <c r="I79" s="66" t="s">
        <v>3473</v>
      </c>
    </row>
    <row r="80" spans="1:9" x14ac:dyDescent="0.35">
      <c r="A80" s="66" t="s">
        <v>2939</v>
      </c>
      <c r="B80" s="89">
        <f>+Cs!B80+Fin!B80+Rat!B80+MM!B80+Lib!B80+Pry!B80+Hal!B80+Cem!B80+Par!B80+EDv!C79+Str!B80+Ele!B80+Wat!B80+San!B80+Ref!B80+Mayor!B80+CFO!B80+MB!B80+Infra!B80</f>
        <v>-8728400</v>
      </c>
      <c r="C80" s="89">
        <f>+Cs!C80+Fin!C80+Rat!C80+MM!C80+Lib!C80+Pry!C80+Hal!C80+Cem!C80+Par!C80+EDv!D79+Str!C80+Ele!C80+Wat!C80+San!C80+Ref!C80+Mayor!C80+CFO!C80+MB!C80+Infra!C80</f>
        <v>-8728400</v>
      </c>
      <c r="D80" s="89">
        <f>+Cs!D80+Fin!D80+Rat!D80+MM!D80+Lib!D80+Pry!D80+Hal!D80+Cem!D80+Par!D80+EDv!E79+Str!D80+Ele!D80+Wat!D80+San!D80+Ref!D80+Mayor!D80+CFO!D80+MB!D80+Infra!D80</f>
        <v>-8924828.1799999997</v>
      </c>
      <c r="E80" s="235">
        <f>+Cs!E80+Fin!E80+Rat!E80+MM!E80+Lib!E80+Pry!E80+Hal!E80+Cem!E80+Par!E80+EDv!F79+Str!E80+Ele!E80+Wat!E80+San!E80+Ref!E80+Mayor!E80+CFO!E80+MB!E80+Infra!E80</f>
        <v>-9250800</v>
      </c>
      <c r="F80" s="235">
        <f>+Cs!F80+Fin!F80+Rat!F80+MM!F80+Lib!F80+Pry!F80+Hal!F80+Cem!F80+Par!F80+EDv!G79+Str!F80+Ele!F80+Wat!F80+San!F80+Ref!F80+Mayor!F80+CFO!F80+MB!F80+Infra!F80</f>
        <v>-9755800</v>
      </c>
      <c r="G80" s="235">
        <f>+Cs!G80+Fin!G80+Rat!G80+MM!G80+Lib!G80+Pry!G80+Hal!G80+Cem!G80+Par!G80+EDv!H79+Str!G80+Ele!G80+Wat!G80+San!G80+Ref!G80+Mayor!G80+CFO!G80+MB!G80+Infra!G80</f>
        <v>-10204600</v>
      </c>
      <c r="H80" s="66" t="s">
        <v>2715</v>
      </c>
      <c r="I80" s="66"/>
    </row>
    <row r="81" spans="1:9" x14ac:dyDescent="0.35">
      <c r="A81" s="66" t="s">
        <v>2947</v>
      </c>
      <c r="B81" s="89">
        <f>+Cs!B81+Fin!B81+Rat!B81+MM!B81+Lib!B81+Pry!B81+Hal!B81+Cem!B81+Par!B81+EDv!C80+Str!B81+Ele!B81+Wat!B81+San!B81+Ref!B81+Mayor!B81+CFO!B81+MB!B81+Infra!B81</f>
        <v>17000</v>
      </c>
      <c r="C81" s="89">
        <f>+Cs!C81+Fin!C81+Rat!C81+MM!C81+Lib!C81+Pry!C81+Hal!C81+Cem!C81+Par!C81+EDv!D80+Str!C81+Ele!C81+Wat!C81+San!C81+Ref!C81+Mayor!C81+CFO!C81+MB!C81+Infra!C81</f>
        <v>17000</v>
      </c>
      <c r="D81" s="89">
        <f>+Cs!D81+Fin!D81+Rat!D81+MM!D81+Lib!D81+Pry!D81+Hal!D81+Cem!D81+Par!D81+EDv!E80+Str!D81+Ele!D81+Wat!D81+San!D81+Ref!D81+Mayor!D81+CFO!D81+MB!D81+Infra!D81</f>
        <v>5605.91</v>
      </c>
      <c r="E81" s="235">
        <f>+Cs!E81+Fin!E81+Rat!E81+MM!E81+Lib!E81+Pry!E81+Hal!E81+Cem!E81+Par!E81+EDv!F80+Str!E81+Ele!E81+Wat!E81+San!E81+Ref!E81+Mayor!E81+CFO!E81+MB!E81+Infra!E81</f>
        <v>5900</v>
      </c>
      <c r="F81" s="235">
        <f>+Cs!F81+Fin!F81+Rat!F81+MM!F81+Lib!F81+Pry!F81+Hal!F81+Cem!F81+Par!F81+EDv!G80+Str!F81+Ele!F81+Wat!F81+San!F81+Ref!F81+Mayor!F81+CFO!F81+MB!F81+Infra!F81</f>
        <v>6200</v>
      </c>
      <c r="G81" s="235">
        <f>+Cs!G81+Fin!G81+Rat!G81+MM!G81+Lib!G81+Pry!G81+Hal!G81+Cem!G81+Par!G81+EDv!H80+Str!G81+Ele!G81+Wat!G81+San!G81+Ref!G81+Mayor!G81+CFO!G81+MB!G81+Infra!G81</f>
        <v>6500</v>
      </c>
      <c r="H81" s="66" t="s">
        <v>2715</v>
      </c>
      <c r="I81" s="66" t="s">
        <v>3473</v>
      </c>
    </row>
    <row r="82" spans="1:9" x14ac:dyDescent="0.35">
      <c r="A82" s="66" t="s">
        <v>3070</v>
      </c>
      <c r="B82" s="89">
        <f>+Cs!B82+Fin!B82+Rat!B82+MM!B82+Lib!B82+Pry!B82+Hal!B82+Cem!B82+Par!B82+EDv!C81+Str!B82+Ele!B82+Wat!B82+San!B82+Ref!B82+Mayor!B82+CFO!B82+MB!B82+Infra!B82</f>
        <v>41500</v>
      </c>
      <c r="C82" s="89">
        <f>+Cs!C82+Fin!C82+Rat!C82+MM!C82+Lib!C82+Pry!C82+Hal!C82+Cem!C82+Par!C82+EDv!D81+Str!C82+Ele!C82+Wat!C82+San!C82+Ref!C82+Mayor!C82+CFO!C82+MB!C82+Infra!C82</f>
        <v>41500</v>
      </c>
      <c r="D82" s="89">
        <f>+Cs!D82+Fin!D82+Rat!D82+MM!D82+Lib!D82+Pry!D82+Hal!D82+Cem!D82+Par!D82+EDv!E81+Str!D82+Ele!D82+Wat!D82+San!D82+Ref!D82+Mayor!D82+CFO!D82+MB!D82+Infra!D82</f>
        <v>73347.55</v>
      </c>
      <c r="E82" s="235">
        <f>+Cs!E82+Fin!E82+Rat!E82+MM!E82+Lib!E82+Pry!E82+Hal!E82+Cem!E82+Par!E82+EDv!F81+Str!E82+Ele!E82+Wat!E82+San!E82+Ref!E82+Mayor!E82+CFO!E82+MB!E82+Infra!E82</f>
        <v>76700</v>
      </c>
      <c r="F82" s="235">
        <f>+Cs!F82+Fin!F82+Rat!F82+MM!F82+Lib!F82+Pry!F82+Hal!F82+Cem!F82+Par!F82+EDv!G81+Str!F82+Ele!F82+Wat!F82+San!F82+Ref!F82+Mayor!F82+CFO!F82+MB!F82+Infra!F82</f>
        <v>80300</v>
      </c>
      <c r="G82" s="235">
        <f>+Cs!G82+Fin!G82+Rat!G82+MM!G82+Lib!G82+Pry!G82+Hal!G82+Cem!G82+Par!G82+EDv!H81+Str!G82+Ele!G82+Wat!G82+San!G82+Ref!G82+Mayor!G82+CFO!G82+MB!G82+Infra!G82</f>
        <v>84000</v>
      </c>
      <c r="H82" s="66" t="s">
        <v>2715</v>
      </c>
      <c r="I82" s="66" t="s">
        <v>3473</v>
      </c>
    </row>
    <row r="83" spans="1:9" x14ac:dyDescent="0.35">
      <c r="A83" s="66" t="s">
        <v>3514</v>
      </c>
      <c r="B83" s="89">
        <f>+Cs!B83+Fin!B83+Rat!B83+MM!B83+Lib!B83+Pry!B83+Hal!B83+Cem!B83+Par!B83+EDv!C82+Str!B83+Ele!B83+Wat!B83+San!B83+Ref!B83+Mayor!B83+CFO!B83+MB!B83+Infra!B83</f>
        <v>0</v>
      </c>
      <c r="C83" s="89">
        <f>+Cs!C83+Fin!C83+Rat!C83+MM!C83+Lib!C83+Pry!C83+Hal!C83+Cem!C83+Par!C83+EDv!D82+Str!C83+Ele!C83+Wat!C83+San!C83+Ref!C83+Mayor!C83+CFO!C83+MB!C83+Infra!C83</f>
        <v>0</v>
      </c>
      <c r="D83" s="89">
        <f>+Cs!D83+Fin!D83+Rat!D83+MM!D83+Lib!D83+Pry!D83+Hal!D83+Cem!D83+Par!D83+EDv!E82+Str!D83+Ele!D83+Wat!D83+San!D83+Ref!D83+Mayor!D83+CFO!D83+MB!D83+Infra!D83</f>
        <v>0</v>
      </c>
      <c r="E83" s="89">
        <f>+Cs!E83+Fin!E83+Rat!E83+MM!E83+Lib!E83+Pry!E83+Hal!E83+Cem!E83+Par!E83+EDv!F82+Str!E83+Ele!E83+Wat!E83+San!E83+Ref!E83+Mayor!E83+CFO!E83+MB!E83+Infra!E83</f>
        <v>0</v>
      </c>
      <c r="F83" s="89">
        <f>+Cs!F83+Fin!F83+Rat!F83+MM!F83+Lib!F83+Pry!F83+Hal!F83+Cem!F83+Par!F83+EDv!G82+Str!F83+Ele!F83+Wat!F83+San!F83+Ref!F83+Mayor!F83+CFO!F83+MB!F83+Infra!F83</f>
        <v>0</v>
      </c>
      <c r="G83" s="89">
        <f>+Cs!G83+Fin!G83+Rat!G83+MM!G83+Lib!G83+Pry!G83+Hal!G83+Cem!G83+Par!G83+EDv!H82+Str!G83+Ele!G83+Wat!G83+San!G83+Ref!G83+Mayor!G83+CFO!G83+MB!G83+Infra!G83</f>
        <v>0</v>
      </c>
      <c r="H83" s="66"/>
      <c r="I83" s="66"/>
    </row>
    <row r="84" spans="1:9" x14ac:dyDescent="0.35">
      <c r="A84" s="66" t="s">
        <v>3069</v>
      </c>
      <c r="B84" s="89">
        <f>+Cs!B84+Fin!B84+Rat!B84+MM!B84+Lib!B84+Pry!B84+Hal!B84+Cem!B84+Par!B84+EDv!C83+Str!B84+Ele!B84+Wat!B84+San!B84+Ref!B84+Mayor!B84+CFO!B84+MB!B84+Infra!B84</f>
        <v>956000</v>
      </c>
      <c r="C84" s="89">
        <f>+Cs!C84+Fin!C84+Rat!C84+MM!C84+Lib!C84+Pry!C84+Hal!C84+Cem!C84+Par!C84+EDv!D83+Str!C84+Ele!C84+Wat!C84+San!C84+Ref!C84+Mayor!C84+CFO!C84+MB!C84+Infra!C84</f>
        <v>956000</v>
      </c>
      <c r="D84" s="89">
        <f>+Cs!D84+Fin!D84+Rat!D84+MM!D84+Lib!D84+Pry!D84+Hal!D84+Cem!D84+Par!D84+EDv!E83+Str!D84+Ele!D84+Wat!D84+San!D84+Ref!D84+Mayor!D84+CFO!D84+MB!D84+Infra!D84</f>
        <v>1282175.28</v>
      </c>
      <c r="E84" s="235">
        <f>+Cs!E84+Fin!E84+Rat!E84+MM!E84+Lib!E84+Pry!E84+Hal!E84+Cem!E84+Par!E84+EDv!F83+Str!E84+Ele!E84+Wat!E84+San!E84+Ref!E84+Mayor!E84+CFO!E84+MB!E84+Infra!E84</f>
        <v>1339900</v>
      </c>
      <c r="F84" s="235">
        <f>+Cs!F84+Fin!F84+Rat!F84+MM!F84+Lib!F84+Pry!F84+Hal!F84+Cem!F84+Par!F84+EDv!G83+Str!F84+Ele!F84+Wat!F84+San!F84+Ref!F84+Mayor!F84+CFO!F84+MB!F84+Infra!F84</f>
        <v>1401600</v>
      </c>
      <c r="G84" s="235">
        <f>+Cs!G84+Fin!G84+Rat!G84+MM!G84+Lib!G84+Pry!G84+Hal!G84+Cem!G84+Par!G84+EDv!H83+Str!G84+Ele!G84+Wat!G84+San!G84+Ref!G84+Mayor!G84+CFO!G84+MB!G84+Infra!G84</f>
        <v>1466100</v>
      </c>
      <c r="H84" s="66" t="s">
        <v>2715</v>
      </c>
      <c r="I84" s="66" t="s">
        <v>3473</v>
      </c>
    </row>
    <row r="85" spans="1:9" x14ac:dyDescent="0.35">
      <c r="A85" s="66" t="s">
        <v>2946</v>
      </c>
      <c r="B85" s="89">
        <f>+Cs!B85+Fin!B85+Rat!B85+MM!B85+Lib!B85+Pry!B85+Hal!B85+Cem!B85+Par!B85+EDv!C84+Str!B85+Ele!B85+Wat!B85+San!B85+Ref!B85+Mayor!B85+CFO!B85+MB!B85+Infra!B85</f>
        <v>0</v>
      </c>
      <c r="C85" s="89">
        <f>+Cs!C85+Fin!C85+Rat!C85+MM!C85+Lib!C85+Pry!C85+Hal!C85+Cem!C85+Par!C85+EDv!D84+Str!C85+Ele!C85+Wat!C85+San!C85+Ref!C85+Mayor!C85+CFO!C85+MB!C85+Infra!C85</f>
        <v>0</v>
      </c>
      <c r="D85" s="89">
        <f>+Cs!D85+Fin!D85+Rat!D85+MM!D85+Lib!D85+Pry!D85+Hal!D85+Cem!D85+Par!D85+EDv!E84+Str!D85+Ele!D85+Wat!D85+San!D85+Ref!D85+Mayor!D85+CFO!D85+MB!D85+Infra!D85</f>
        <v>23940.22</v>
      </c>
      <c r="E85" s="235">
        <f>+Cs!E85+Fin!E85+Rat!E85+MM!E85+Lib!E85+Pry!E85+Hal!E85+Cem!E85+Par!E85+EDv!F84+Str!E85+Ele!E85+Wat!E85+San!E85+Ref!E85+Mayor!E85+CFO!E85+MB!E85+Infra!E85</f>
        <v>25100</v>
      </c>
      <c r="F85" s="235">
        <f>+Cs!F85+Fin!F85+Rat!F85+MM!F85+Lib!F85+Pry!F85+Hal!F85+Cem!F85+Par!F85+EDv!G84+Str!F85+Ele!F85+Wat!F85+San!F85+Ref!F85+Mayor!F85+CFO!F85+MB!F85+Infra!F85</f>
        <v>26300</v>
      </c>
      <c r="G85" s="235">
        <f>+Cs!G85+Fin!G85+Rat!G85+MM!G85+Lib!G85+Pry!G85+Hal!G85+Cem!G85+Par!G85+EDv!H84+Str!G85+Ele!G85+Wat!G85+San!G85+Ref!G85+Mayor!G85+CFO!G85+MB!G85+Infra!G85</f>
        <v>27500</v>
      </c>
      <c r="H85" s="66" t="s">
        <v>2715</v>
      </c>
      <c r="I85" s="66" t="s">
        <v>3473</v>
      </c>
    </row>
    <row r="86" spans="1:9" x14ac:dyDescent="0.35">
      <c r="A86" s="66" t="s">
        <v>2975</v>
      </c>
      <c r="B86" s="89">
        <f>+Cs!B86+Fin!B86+Rat!B86+MM!B86+Lib!B86+Pry!B86+Hal!B86+Cem!B86+Par!B86+EDv!C85+Str!B86+Ele!B86+Wat!B86+San!B86+Ref!B86+Mayor!B86+CFO!B86+MB!B86+Infra!B86</f>
        <v>-15200</v>
      </c>
      <c r="C86" s="89">
        <f>+Cs!C86+Fin!C86+Rat!C86+MM!C86+Lib!C86+Pry!C86+Hal!C86+Cem!C86+Par!C86+EDv!D85+Str!C86+Ele!C86+Wat!C86+San!C86+Ref!C86+Mayor!C86+CFO!C86+MB!C86+Infra!C86</f>
        <v>-15200</v>
      </c>
      <c r="D86" s="89">
        <f>+Cs!D86+Fin!D86+Rat!D86+MM!D86+Lib!D86+Pry!D86+Hal!D86+Cem!D86+Par!D86+EDv!E85+Str!D86+Ele!D86+Wat!D86+San!D86+Ref!D86+Mayor!D86+CFO!D86+MB!D86+Infra!D86</f>
        <v>-7100</v>
      </c>
      <c r="E86" s="235">
        <f>+Cs!E86+Fin!E86+Rat!E86+MM!E86+Lib!E86+Pry!E86+Hal!E86+Cem!E86+Par!E86+EDv!F85+Str!E86+Ele!E86+Wat!E86+San!E86+Ref!E86+Mayor!E86+CFO!E86+MB!E86+Infra!E86</f>
        <v>-10900</v>
      </c>
      <c r="F86" s="235">
        <f>+Cs!F86+Fin!F86+Rat!F86+MM!F86+Lib!F86+Pry!F86+Hal!F86+Cem!F86+Par!F86+EDv!G85+Str!F86+Ele!F86+Wat!F86+San!F86+Ref!F86+Mayor!F86+CFO!F86+MB!F86+Infra!F86</f>
        <v>-11400</v>
      </c>
      <c r="G86" s="235">
        <f>+Cs!G86+Fin!G86+Rat!G86+MM!G86+Lib!G86+Pry!G86+Hal!G86+Cem!G86+Par!G86+EDv!H85+Str!G86+Ele!G86+Wat!G86+San!G86+Ref!G86+Mayor!G86+CFO!G86+MB!G86+Infra!G86</f>
        <v>-12000</v>
      </c>
      <c r="H86" s="66" t="s">
        <v>2707</v>
      </c>
      <c r="I86" s="66"/>
    </row>
    <row r="87" spans="1:9" x14ac:dyDescent="0.35">
      <c r="A87" s="66" t="s">
        <v>3516</v>
      </c>
      <c r="B87" s="89">
        <f>+Cs!B87+Fin!B87+Rat!B87+MM!B87+Lib!B87+Pry!B87+Hal!B87+Cem!B87+Par!B87+EDv!C86+Str!B87+Ele!B87+Wat!B87+San!B87+Ref!B87+Mayor!B87+CFO!B87+MB!B87+Infra!B87</f>
        <v>-3510500</v>
      </c>
      <c r="C87" s="89">
        <f>+Cs!C87+Fin!C87+Rat!C87+MM!C87+Lib!C87+Pry!C87+Hal!C87+Cem!C87+Par!C87+EDv!D86+Str!C87+Ele!C87+Wat!C87+San!C87+Ref!C87+Mayor!C87+CFO!C87+MB!C87+Infra!C87</f>
        <v>-3510500</v>
      </c>
      <c r="D87" s="89">
        <f>+Cs!D87+Fin!D87+Rat!D87+MM!D87+Lib!D87+Pry!D87+Hal!D87+Cem!D87+Par!D87+EDv!E86+Str!D87+Ele!D87+Wat!D87+San!D87+Ref!D87+Mayor!D87+CFO!D87+MB!D87+Infra!D87</f>
        <v>-3455957.99</v>
      </c>
      <c r="E87" s="235">
        <f>+Cs!E87+Fin!E87+Rat!E87+MM!E87+Lib!E87+Pry!E87+Hal!E87+Cem!E87+Par!E87+EDv!F86+Str!E87+Ele!E87+Wat!E87+San!E87+Ref!E87+Mayor!E87+CFO!E87+MB!E87+Infra!E87</f>
        <v>-3697500</v>
      </c>
      <c r="F87" s="235">
        <f>+Cs!F87+Fin!F87+Rat!F87+MM!F87+Lib!F87+Pry!F87+Hal!F87+Cem!F87+Par!F87+EDv!G86+Str!F87+Ele!F87+Wat!F87+San!F87+Ref!F87+Mayor!F87+CFO!F87+MB!F87+Infra!F87</f>
        <v>-3777700</v>
      </c>
      <c r="G87" s="235">
        <f>+Cs!G87+Fin!G87+Rat!G87+MM!G87+Lib!G87+Pry!G87+Hal!G87+Cem!G87+Par!G87+EDv!H86+Str!G87+Ele!G87+Wat!G87+San!G87+Ref!G87+Mayor!G87+CFO!G87+MB!G87+Infra!G87</f>
        <v>-3951500</v>
      </c>
      <c r="H87" s="66" t="s">
        <v>3465</v>
      </c>
      <c r="I87" s="66" t="s">
        <v>2622</v>
      </c>
    </row>
    <row r="88" spans="1:9" x14ac:dyDescent="0.35">
      <c r="A88" s="66" t="s">
        <v>3515</v>
      </c>
      <c r="B88" s="89">
        <f>+Cs!B88+Fin!B88+Rat!B88+MM!B88+Lib!B88+Pry!B88+Hal!B88+Cem!B88+Par!B88+EDv!C87+Str!B88+Ele!B88+Wat!B88+San!B88+Ref!B88+Mayor!B88+CFO!B88+MB!B88+Infra!B88</f>
        <v>0</v>
      </c>
      <c r="C88" s="89">
        <f>+Cs!C88+Fin!C88+Rat!C88+MM!C88+Lib!C88+Pry!C88+Hal!C88+Cem!C88+Par!C88+EDv!D87+Str!C88+Ele!C88+Wat!C88+San!C88+Ref!C88+Mayor!C88+CFO!C88+MB!C88+Infra!C88</f>
        <v>0</v>
      </c>
      <c r="D88" s="89">
        <f>+Cs!D88+Fin!D88+Rat!D88+MM!D88+Lib!D88+Pry!D88+Hal!D88+Cem!D88+Par!D88+EDv!E87+Str!D88+Ele!D88+Wat!D88+San!D88+Ref!D88+Mayor!D88+CFO!D88+MB!D88+Infra!D88</f>
        <v>-42236.28</v>
      </c>
      <c r="E88" s="235">
        <f>+Cs!E88+Fin!E88+Rat!E88+MM!E88+Lib!E88+Pry!E88+Hal!E88+Cem!E88+Par!E88+EDv!F87+Str!E88+Ele!E88+Wat!E88+San!E88+Ref!E88+Mayor!E88+CFO!E88+MB!E88+Infra!E88</f>
        <v>-44200</v>
      </c>
      <c r="F88" s="235">
        <f>+Cs!F88+Fin!F88+Rat!F88+MM!F88+Lib!F88+Pry!F88+Hal!F88+Cem!F88+Par!F88+EDv!G87+Str!F88+Ele!F88+Wat!F88+San!F88+Ref!F88+Mayor!F88+CFO!F88+MB!F88+Infra!F88</f>
        <v>-46300</v>
      </c>
      <c r="G88" s="235">
        <f>+Cs!G88+Fin!G88+Rat!G88+MM!G88+Lib!G88+Pry!G88+Hal!G88+Cem!G88+Par!G88+EDv!H87+Str!G88+Ele!G88+Wat!G88+San!G88+Ref!G88+Mayor!G88+CFO!G88+MB!G88+Infra!G88</f>
        <v>-48500</v>
      </c>
      <c r="H88" s="66" t="s">
        <v>3465</v>
      </c>
      <c r="I88" s="66" t="s">
        <v>2622</v>
      </c>
    </row>
    <row r="89" spans="1:9" x14ac:dyDescent="0.35">
      <c r="A89" s="66" t="s">
        <v>2830</v>
      </c>
      <c r="B89" s="89">
        <f>+Cs!B89+Fin!B89+Rat!B89+MM!B89+Lib!B89+Pry!B89+Hal!B89+Cem!B89+Par!B89+EDv!C88+Str!B89+Ele!B89+Wat!B89+San!B89+Ref!B89+Mayor!B89+CFO!B89+MB!B89+Infra!B89</f>
        <v>-20000000</v>
      </c>
      <c r="C89" s="89">
        <f>+Cs!C89+Fin!C89+Rat!C89+MM!C89+Lib!C89+Pry!C89+Hal!C89+Cem!C89+Par!C89+EDv!D88+Str!C89+Ele!C89+Wat!C89+San!C89+Ref!C89+Mayor!C89+CFO!C89+MB!C89+Infra!C89</f>
        <v>0</v>
      </c>
      <c r="D89" s="89">
        <f>+Cs!D89+Fin!D89+Rat!D89+MM!D89+Lib!D89+Pry!D89+Hal!D89+Cem!D89+Par!D89+EDv!E88+Str!D89+Ele!D89+Wat!D89+San!D89+Ref!D89+Mayor!D89+CFO!D89+MB!D89+Infra!D89</f>
        <v>0</v>
      </c>
      <c r="E89" s="89">
        <f>+Cs!E89+Fin!E89+Rat!E89+MM!E89+Lib!E89+Pry!E89+Hal!E89+Cem!E89+Par!E89+EDv!F88+Str!E89+Ele!E89+Wat!E89+San!E89+Ref!E89+Mayor!E89+CFO!E89+MB!E89+Infra!E89</f>
        <v>0</v>
      </c>
      <c r="F89" s="89">
        <f>+Cs!F89+Fin!F89+Rat!F89+MM!F89+Lib!F89+Pry!F89+Hal!F89+Cem!F89+Par!F89+EDv!G88+Str!F89+Ele!F89+Wat!F89+San!F89+Ref!F89+Mayor!F89+CFO!F89+MB!F89+Infra!F89</f>
        <v>0</v>
      </c>
      <c r="G89" s="89">
        <f>+Cs!G89+Fin!G89+Rat!G89+MM!G89+Lib!G89+Pry!G89+Hal!G89+Cem!G89+Par!G89+EDv!H88+Str!G89+Ele!G89+Wat!G89+San!G89+Ref!G89+Mayor!G89+CFO!G89+MB!G89+Infra!G89</f>
        <v>0</v>
      </c>
      <c r="H89" s="66" t="s">
        <v>3467</v>
      </c>
      <c r="I89" s="66" t="s">
        <v>3466</v>
      </c>
    </row>
    <row r="90" spans="1:9" x14ac:dyDescent="0.35">
      <c r="A90" s="66" t="s">
        <v>2873</v>
      </c>
      <c r="B90" s="89">
        <f>+Cs!B90+Fin!B90+Rat!B90+MM!B90+Lib!B90+Pry!B90+Hal!B90+Cem!B90+Par!B90+EDv!C89+Str!B90+Ele!B90+Wat!B90+San!B90+Ref!B90+Mayor!B90+CFO!B90+MB!B90+Infra!B90</f>
        <v>-258600</v>
      </c>
      <c r="C90" s="89">
        <f>+Cs!C90+Fin!C90+Rat!C90+MM!C90+Lib!C90+Pry!C90+Hal!C90+Cem!C90+Par!C90+EDv!D89+Str!C90+Ele!C90+Wat!C90+San!C90+Ref!C90+Mayor!C90+CFO!C90+MB!C90+Infra!C90</f>
        <v>-18600</v>
      </c>
      <c r="D90" s="89">
        <f>+Cs!D90+Fin!D90+Rat!D90+MM!D90+Lib!D90+Pry!D90+Hal!D90+Cem!D90+Par!D90+EDv!E89+Str!D90+Ele!D90+Wat!D90+San!D90+Ref!D90+Mayor!D90+CFO!D90+MB!D90+Infra!D90</f>
        <v>-254900</v>
      </c>
      <c r="E90" s="235">
        <f>+Cs!E90+Fin!E90+Rat!E90+MM!E90+Lib!E90+Pry!E90+Hal!E90+Cem!E90+Par!E90+EDv!F89+Str!E90+Ele!E90+Wat!E90+San!E90+Ref!E90+Mayor!E90+CFO!E90+MB!E90+Infra!E90</f>
        <v>-300000</v>
      </c>
      <c r="F90" s="235">
        <f>+Cs!F90+Fin!F90+Rat!F90+MM!F90+Lib!F90+Pry!F90+Hal!F90+Cem!F90+Par!F90+EDv!G89+Str!F90+Ele!F90+Wat!F90+San!F90+Ref!F90+Mayor!F90+CFO!F90+MB!F90+Infra!F90</f>
        <v>-309000</v>
      </c>
      <c r="G90" s="235">
        <f>+Cs!G90+Fin!G90+Rat!G90+MM!G90+Lib!G90+Pry!G90+Hal!G90+Cem!G90+Par!G90+EDv!H89+Str!G90+Ele!G90+Wat!G90+San!G90+Ref!G90+Mayor!G90+CFO!G90+MB!G90+Infra!G90</f>
        <v>-318300</v>
      </c>
      <c r="H90" s="66" t="s">
        <v>2716</v>
      </c>
      <c r="I90" s="66"/>
    </row>
    <row r="91" spans="1:9" x14ac:dyDescent="0.35">
      <c r="A91" s="66" t="s">
        <v>2937</v>
      </c>
      <c r="B91" s="89">
        <f>+Cs!B91+Fin!B91+Rat!B91+MM!B91+Lib!B91+Pry!B91+Hal!B91+Cem!B91+Par!B91+EDv!C90+Str!B91+Ele!B91+Wat!B91+San!B91+Ref!B91+Mayor!B91+CFO!B91+MB!B91+Infra!B91</f>
        <v>-50000</v>
      </c>
      <c r="C91" s="89">
        <f>+Cs!C91+Fin!C91+Rat!C91+MM!C91+Lib!C91+Pry!C91+Hal!C91+Cem!C91+Par!C91+EDv!D90+Str!C91+Ele!C91+Wat!C91+San!C91+Ref!C91+Mayor!C91+CFO!C91+MB!C91+Infra!C91</f>
        <v>-50000</v>
      </c>
      <c r="D91" s="89">
        <f>+Cs!D91+Fin!D91+Rat!D91+MM!D91+Lib!D91+Pry!D91+Hal!D91+Cem!D91+Par!D91+EDv!E90+Str!D91+Ele!D91+Wat!D91+San!D91+Ref!D91+Mayor!D91+CFO!D91+MB!D91+Infra!D91</f>
        <v>-29025</v>
      </c>
      <c r="E91" s="235">
        <f>+Cs!E91+Fin!E91+Rat!E91+MM!E91+Lib!E91+Pry!E91+Hal!E91+Cem!E91+Par!E91+EDv!F90+Str!E91+Ele!E91+Wat!E91+San!E91+Ref!E91+Mayor!E91+CFO!E91+MB!E91+Infra!E91</f>
        <v>-35000</v>
      </c>
      <c r="F91" s="235">
        <f>+Cs!F91+Fin!F91+Rat!F91+MM!F91+Lib!F91+Pry!F91+Hal!F91+Cem!F91+Par!F91+EDv!G90+Str!F91+Ele!F91+Wat!F91+San!F91+Ref!F91+Mayor!F91+CFO!F91+MB!F91+Infra!F91</f>
        <v>-36600</v>
      </c>
      <c r="G91" s="235">
        <f>+Cs!G91+Fin!G91+Rat!G91+MM!G91+Lib!G91+Pry!G91+Hal!G91+Cem!G91+Par!G91+EDv!H90+Str!G91+Ele!G91+Wat!G91+San!G91+Ref!G91+Mayor!G91+CFO!G91+MB!G91+Infra!G91</f>
        <v>-38300</v>
      </c>
      <c r="H91" s="66" t="s">
        <v>2707</v>
      </c>
      <c r="I91" s="66"/>
    </row>
    <row r="92" spans="1:9" x14ac:dyDescent="0.35">
      <c r="A92" s="66" t="s">
        <v>2935</v>
      </c>
      <c r="B92" s="89">
        <f>+Cs!B92+Fin!B92+Rat!B92+MM!B92+Lib!B92+Pry!B92+Hal!B92+Cem!B92+Par!B92+EDv!C91+Str!B92+Ele!B92+Wat!B92+San!B92+Ref!B92+Mayor!B92+CFO!B92+MB!B92+Infra!B92</f>
        <v>-9000</v>
      </c>
      <c r="C92" s="89">
        <f>+Cs!C92+Fin!C92+Rat!C92+MM!C92+Lib!C92+Pry!C92+Hal!C92+Cem!C92+Par!C92+EDv!D91+Str!C92+Ele!C92+Wat!C92+San!C92+Ref!C92+Mayor!C92+CFO!C92+MB!C92+Infra!C92</f>
        <v>-9000</v>
      </c>
      <c r="D92" s="89">
        <f>+Cs!D92+Fin!D92+Rat!D92+MM!D92+Lib!D92+Pry!D92+Hal!D92+Cem!D92+Par!D92+EDv!E91+Str!D92+Ele!D92+Wat!D92+San!D92+Ref!D92+Mayor!D92+CFO!D92+MB!D92+Infra!D92</f>
        <v>-21800.959999999999</v>
      </c>
      <c r="E92" s="235">
        <f>+Cs!E92+Fin!E92+Rat!E92+MM!E92+Lib!E92+Pry!E92+Hal!E92+Cem!E92+Par!E92+EDv!F91+Str!E92+Ele!E92+Wat!E92+San!E92+Ref!E92+Mayor!E92+CFO!E92+MB!E92+Infra!E92</f>
        <v>-22800</v>
      </c>
      <c r="F92" s="235">
        <f>+Cs!F92+Fin!F92+Rat!F92+MM!F92+Lib!F92+Pry!F92+Hal!F92+Cem!F92+Par!F92+EDv!G91+Str!F92+Ele!F92+Wat!F92+San!F92+Ref!F92+Mayor!F92+CFO!F92+MB!F92+Infra!F92</f>
        <v>-23900</v>
      </c>
      <c r="G92" s="235">
        <f>+Cs!G92+Fin!G92+Rat!G92+MM!G92+Lib!G92+Pry!G92+Hal!G92+Cem!G92+Par!G92+EDv!H91+Str!G92+Ele!G92+Wat!G92+San!G92+Ref!G92+Mayor!G92+CFO!G92+MB!G92+Infra!G92</f>
        <v>-25000</v>
      </c>
      <c r="H92" s="66" t="s">
        <v>2707</v>
      </c>
      <c r="I92" s="66"/>
    </row>
    <row r="93" spans="1:9" x14ac:dyDescent="0.35">
      <c r="A93" s="66" t="s">
        <v>2898</v>
      </c>
      <c r="B93" s="89">
        <f>+Cs!B93+Fin!B93+Rat!B93+MM!B93+Lib!B93+Pry!B93+Hal!B93+Cem!B93+Par!B93+EDv!C92+Str!B93+Ele!B93+Wat!B93+San!B93+Ref!B93+Mayor!B93+CFO!B93+MB!B93+Infra!B93</f>
        <v>-10100</v>
      </c>
      <c r="C93" s="89">
        <f>+Cs!C93+Fin!C93+Rat!C93+MM!C93+Lib!C93+Pry!C93+Hal!C93+Cem!C93+Par!C93+EDv!D92+Str!C93+Ele!C93+Wat!C93+San!C93+Ref!C93+Mayor!C93+CFO!C93+MB!C93+Infra!C93</f>
        <v>-10100</v>
      </c>
      <c r="D93" s="89">
        <f>+Cs!D93+Fin!D93+Rat!D93+MM!D93+Lib!D93+Pry!D93+Hal!D93+Cem!D93+Par!D93+EDv!E92+Str!D93+Ele!D93+Wat!D93+San!D93+Ref!D93+Mayor!D93+CFO!D93+MB!D93+Infra!D93</f>
        <v>-5400</v>
      </c>
      <c r="E93" s="235">
        <f>+Cs!E93+Fin!E93+Rat!E93+MM!E93+Lib!E93+Pry!E93+Hal!E93+Cem!E93+Par!E93+EDv!F92+Str!E93+Ele!E93+Wat!E93+San!E93+Ref!E93+Mayor!E93+CFO!E93+MB!E93+Infra!E93</f>
        <v>-7000</v>
      </c>
      <c r="F93" s="235">
        <f>+Cs!F93+Fin!F93+Rat!F93+MM!F93+Lib!F93+Pry!F93+Hal!F93+Cem!F93+Par!F93+EDv!G92+Str!F93+Ele!F93+Wat!F93+San!F93+Ref!F93+Mayor!F93+CFO!F93+MB!F93+Infra!F93</f>
        <v>-7300</v>
      </c>
      <c r="G93" s="235">
        <f>+Cs!G93+Fin!G93+Rat!G93+MM!G93+Lib!G93+Pry!G93+Hal!G93+Cem!G93+Par!G93+EDv!H92+Str!G93+Ele!G93+Wat!G93+San!G93+Ref!G93+Mayor!G93+CFO!G93+MB!G93+Infra!G93</f>
        <v>-7700</v>
      </c>
      <c r="H93" s="66" t="s">
        <v>2707</v>
      </c>
      <c r="I93" s="66"/>
    </row>
    <row r="94" spans="1:9" x14ac:dyDescent="0.35">
      <c r="A94" s="66" t="s">
        <v>2841</v>
      </c>
      <c r="B94" s="89">
        <f>+Cs!B94+Fin!B94+Rat!B94+MM!B94+Lib!B94+Pry!B94+Hal!B94+Cem!B94+Par!B94+EDv!C93+Str!B94+Ele!B94+Wat!B94+San!B94+Ref!B94+Mayor!B94+CFO!B94+MB!B94+Infra!B94</f>
        <v>0</v>
      </c>
      <c r="C94" s="89">
        <f>+Cs!C94+Fin!C94+Rat!C94+MM!C94+Lib!C94+Pry!C94+Hal!C94+Cem!C94+Par!C94+EDv!D93+Str!C94+Ele!C94+Wat!C94+San!C94+Ref!C94+Mayor!C94+CFO!C94+MB!C94+Infra!C94</f>
        <v>0</v>
      </c>
      <c r="D94" s="89">
        <f>+Cs!D94+Fin!D94+Rat!D94+MM!D94+Lib!D94+Pry!D94+Hal!D94+Cem!D94+Par!D94+EDv!E93+Str!D94+Ele!D94+Wat!D94+San!D94+Ref!D94+Mayor!D94+CFO!D94+MB!D94+Infra!D94</f>
        <v>0</v>
      </c>
      <c r="E94" s="235">
        <f>+Cs!E94+Fin!E94+Rat!E94+MM!E94+Lib!E94+Pry!E94+Hal!E94+Cem!E94+Par!E94+EDv!F93+Str!E94+Ele!E94+Wat!E94+San!E94+Ref!E94+Mayor!E94+CFO!E94+MB!E94+Infra!E94</f>
        <v>0</v>
      </c>
      <c r="F94" s="235">
        <f>+Cs!F94+Fin!F94+Rat!F94+MM!F94+Lib!F94+Pry!F94+Hal!F94+Cem!F94+Par!F94+EDv!G93+Str!F94+Ele!F94+Wat!F94+San!F94+Ref!F94+Mayor!F94+CFO!F94+MB!F94+Infra!F94</f>
        <v>0</v>
      </c>
      <c r="G94" s="235">
        <f>+Cs!G94+Fin!G94+Rat!G94+MM!G94+Lib!G94+Pry!G94+Hal!G94+Cem!G94+Par!G94+EDv!H93+Str!G94+Ele!G94+Wat!G94+San!G94+Ref!G94+Mayor!G94+CFO!G94+MB!G94+Infra!G94</f>
        <v>0</v>
      </c>
      <c r="H94" s="66" t="s">
        <v>2707</v>
      </c>
      <c r="I94" s="66"/>
    </row>
    <row r="95" spans="1:9" x14ac:dyDescent="0.35">
      <c r="A95" s="66" t="s">
        <v>2945</v>
      </c>
      <c r="B95" s="89">
        <f>+Cs!B95+Fin!B95+Rat!B95+MM!B95+Lib!B95+Pry!B95+Hal!B95+Cem!B95+Par!B95+EDv!C94+Str!B95+Ele!B95+Wat!B95+San!B95+Ref!B95+Mayor!B95+CFO!B95+MB!B95+Infra!B95</f>
        <v>-2000</v>
      </c>
      <c r="C95" s="89">
        <f>+Cs!C95+Fin!C95+Rat!C95+MM!C95+Lib!C95+Pry!C95+Hal!C95+Cem!C95+Par!C95+EDv!D94+Str!C95+Ele!C95+Wat!C95+San!C95+Ref!C95+Mayor!C95+CFO!C95+MB!C95+Infra!C95</f>
        <v>-2000</v>
      </c>
      <c r="D95" s="89">
        <f>+Cs!D95+Fin!D95+Rat!D95+MM!D95+Lib!D95+Pry!D95+Hal!D95+Cem!D95+Par!D95+EDv!E94+Str!D95+Ele!D95+Wat!D95+San!D95+Ref!D95+Mayor!D95+CFO!D95+MB!D95+Infra!D95</f>
        <v>-800</v>
      </c>
      <c r="E95" s="235">
        <f>+Cs!E95+Fin!E95+Rat!E95+MM!E95+Lib!E95+Pry!E95+Hal!E95+Cem!E95+Par!E95+EDv!F94+Str!E95+Ele!E95+Wat!E95+San!E95+Ref!E95+Mayor!E95+CFO!E95+MB!E95+Infra!E95</f>
        <v>-2000</v>
      </c>
      <c r="F95" s="235">
        <f>+Cs!F95+Fin!F95+Rat!F95+MM!F95+Lib!F95+Pry!F95+Hal!F95+Cem!F95+Par!F95+EDv!G94+Str!F95+Ele!F95+Wat!F95+San!F95+Ref!F95+Mayor!F95+CFO!F95+MB!F95+Infra!F95</f>
        <v>-2500</v>
      </c>
      <c r="G95" s="235">
        <f>+Cs!G95+Fin!G95+Rat!G95+MM!G95+Lib!G95+Pry!G95+Hal!G95+Cem!G95+Par!G95+EDv!H94+Str!G95+Ele!G95+Wat!G95+San!G95+Ref!G95+Mayor!G95+CFO!G95+MB!G95+Infra!G95</f>
        <v>-3000</v>
      </c>
      <c r="H95" s="66" t="s">
        <v>3465</v>
      </c>
      <c r="I95" s="66" t="s">
        <v>2621</v>
      </c>
    </row>
    <row r="96" spans="1:9" x14ac:dyDescent="0.35">
      <c r="A96" s="66" t="s">
        <v>3521</v>
      </c>
      <c r="B96" s="89">
        <f>+Cs!B96+Fin!B96+Rat!B96+MM!B96+Lib!B96+Pry!B96+Hal!B96+Cem!B96+Par!B96+EDv!C95+Str!B96+Ele!B96+Wat!B96+San!B96+Ref!B96+Mayor!B96+CFO!B96+MB!B96+Infra!B96</f>
        <v>-4350200</v>
      </c>
      <c r="C96" s="89">
        <f>+Cs!C96+Fin!C96+Rat!C96+MM!C96+Lib!C96+Pry!C96+Hal!C96+Cem!C96+Par!C96+EDv!D95+Str!C96+Ele!C96+Wat!C96+San!C96+Ref!C96+Mayor!C96+CFO!C96+MB!C96+Infra!C96</f>
        <v>-4400200</v>
      </c>
      <c r="D96" s="89">
        <f>+Cs!D96+Fin!D96+Rat!D96+MM!D96+Lib!D96+Pry!D96+Hal!D96+Cem!D96+Par!D96+EDv!E95+Str!D96+Ele!D96+Wat!D96+San!D96+Ref!D96+Mayor!D96+CFO!D96+MB!D96+Infra!D96</f>
        <v>-3970222.65</v>
      </c>
      <c r="E96" s="235">
        <f>+Cs!E96+Fin!E96+Rat!E96+MM!E96+Lib!E96+Pry!E96+Hal!E96+Cem!E96+Par!E96+EDv!F95+Str!E96+Ele!E96+Wat!E96+San!E96+Ref!E96+Mayor!E96+CFO!E96+MB!E96+Infra!E96</f>
        <v>-4105900</v>
      </c>
      <c r="F96" s="235">
        <f>+Cs!F96+Fin!F96+Rat!F96+MM!F96+Lib!F96+Pry!F96+Hal!F96+Cem!F96+Par!F96+EDv!G95+Str!F96+Ele!F96+Wat!F96+San!F96+Ref!F96+Mayor!F96+CFO!F96+MB!F96+Infra!F96</f>
        <v>-4339800</v>
      </c>
      <c r="G96" s="235">
        <f>+Cs!G96+Fin!G96+Rat!G96+MM!G96+Lib!G96+Pry!G96+Hal!G96+Cem!G96+Par!G96+EDv!H95+Str!G96+Ele!G96+Wat!G96+San!G96+Ref!G96+Mayor!G96+CFO!G96+MB!G96+Infra!G96</f>
        <v>-4539500</v>
      </c>
      <c r="H96" s="66" t="s">
        <v>3465</v>
      </c>
      <c r="I96" s="66" t="s">
        <v>2621</v>
      </c>
    </row>
    <row r="97" spans="1:9" x14ac:dyDescent="0.35">
      <c r="A97" s="66" t="s">
        <v>3522</v>
      </c>
      <c r="B97" s="89">
        <f>+Cs!B97+Fin!B97+Rat!B97+MM!B97+Lib!B97+Pry!B97+Hal!B97+Cem!B97+Par!B97+EDv!C96+Str!B97+Ele!B97+Wat!B97+San!B97+Ref!B97+Mayor!B97+CFO!B97+MB!B97+Infra!B97</f>
        <v>0</v>
      </c>
      <c r="C97" s="89">
        <f>+Cs!C97+Fin!C97+Rat!C97+MM!C97+Lib!C97+Pry!C97+Hal!C97+Cem!C97+Par!C97+EDv!D96+Str!C97+Ele!C97+Wat!C97+San!C97+Ref!C97+Mayor!C97+CFO!C97+MB!C97+Infra!C97</f>
        <v>0</v>
      </c>
      <c r="D97" s="89">
        <f>+Cs!D97+Fin!D97+Rat!D97+MM!D97+Lib!D97+Pry!D97+Hal!D97+Cem!D97+Par!D97+EDv!E96+Str!D97+Ele!D97+Wat!D97+San!D97+Ref!D97+Mayor!D97+CFO!D97+MB!D97+Infra!D97</f>
        <v>-5341.67</v>
      </c>
      <c r="E97" s="235">
        <f>+Cs!E97+Fin!E97+Rat!E97+MM!E97+Lib!E97+Pry!E97+Hal!E97+Cem!E97+Par!E97+EDv!F96+Str!E97+Ele!E97+Wat!E97+San!E97+Ref!E97+Mayor!E97+CFO!E97+MB!E97+Infra!E97</f>
        <v>-5600</v>
      </c>
      <c r="F97" s="235">
        <f>+Cs!F97+Fin!F97+Rat!F97+MM!F97+Lib!F97+Pry!F97+Hal!F97+Cem!F97+Par!F97+EDv!G96+Str!F97+Ele!F97+Wat!F97+San!F97+Ref!F97+Mayor!F97+CFO!F97+MB!F97+Infra!F97</f>
        <v>-5900</v>
      </c>
      <c r="G97" s="235">
        <f>+Cs!G97+Fin!G97+Rat!G97+MM!G97+Lib!G97+Pry!G97+Hal!G97+Cem!G97+Par!G97+EDv!H96+Str!G97+Ele!G97+Wat!G97+San!G97+Ref!G97+Mayor!G97+CFO!G97+MB!G97+Infra!G97</f>
        <v>-6200</v>
      </c>
      <c r="H97" s="66" t="s">
        <v>3465</v>
      </c>
      <c r="I97" s="66" t="s">
        <v>2621</v>
      </c>
    </row>
    <row r="98" spans="1:9" x14ac:dyDescent="0.35">
      <c r="A98" s="66" t="s">
        <v>3523</v>
      </c>
      <c r="B98" s="89">
        <f>+Cs!B98+Fin!B98+Rat!B98+MM!B98+Lib!B98+Pry!B98+Hal!B98+Cem!B98+Par!B98+EDv!C97+Str!B98+Ele!B98+Wat!B98+San!B98+Ref!B98+Mayor!B98+CFO!B98+MB!B98+Infra!B98</f>
        <v>0</v>
      </c>
      <c r="C98" s="89">
        <f>+Cs!C98+Fin!C98+Rat!C98+MM!C98+Lib!C98+Pry!C98+Hal!C98+Cem!C98+Par!C98+EDv!D97+Str!C98+Ele!C98+Wat!C98+San!C98+Ref!C98+Mayor!C98+CFO!C98+MB!C98+Infra!C98</f>
        <v>0</v>
      </c>
      <c r="D98" s="89">
        <f>+Cs!D98+Fin!D98+Rat!D98+MM!D98+Lib!D98+Pry!D98+Hal!D98+Cem!D98+Par!D98+EDv!E97+Str!D98+Ele!D98+Wat!D98+San!D98+Ref!D98+Mayor!D98+CFO!D98+MB!D98+Infra!D98</f>
        <v>-495698.88</v>
      </c>
      <c r="E98" s="235">
        <f>+Cs!E98+Fin!E98+Rat!E98+MM!E98+Lib!E98+Pry!E98+Hal!E98+Cem!E98+Par!E98+EDv!F97+Str!E98+Ele!E98+Wat!E98+San!E98+Ref!E98+Mayor!E98+CFO!E98+MB!E98+Infra!E98</f>
        <v>-518100</v>
      </c>
      <c r="F98" s="235">
        <f>+Cs!F98+Fin!F98+Rat!F98+MM!F98+Lib!F98+Pry!F98+Hal!F98+Cem!F98+Par!F98+EDv!G97+Str!F98+Ele!F98+Wat!F98+San!F98+Ref!F98+Mayor!F98+CFO!F98+MB!F98+Infra!F98</f>
        <v>-542000</v>
      </c>
      <c r="G98" s="235">
        <f>+Cs!G98+Fin!G98+Rat!G98+MM!G98+Lib!G98+Pry!G98+Hal!G98+Cem!G98+Par!G98+EDv!H97+Str!G98+Ele!G98+Wat!G98+San!G98+Ref!G98+Mayor!G98+CFO!G98+MB!G98+Infra!G98</f>
        <v>-567000</v>
      </c>
      <c r="H98" s="66" t="s">
        <v>3465</v>
      </c>
      <c r="I98" s="66" t="s">
        <v>2621</v>
      </c>
    </row>
    <row r="99" spans="1:9" x14ac:dyDescent="0.35">
      <c r="A99" s="66" t="s">
        <v>3071</v>
      </c>
      <c r="B99" s="89">
        <f>+Cs!B99+Fin!B99+Rat!B99+MM!B99+Lib!B99+Pry!B99+Hal!B99+Cem!B99+Par!B99+EDv!C98+Str!B99+Ele!B99+Wat!B99+San!B99+Ref!B99+Mayor!B99+CFO!B99+MB!B99+Infra!B99</f>
        <v>-1900000</v>
      </c>
      <c r="C99" s="89">
        <f>+Cs!C99+Fin!C99+Rat!C99+MM!C99+Lib!C99+Pry!C99+Hal!C99+Cem!C99+Par!C99+EDv!D98+Str!C99+Ele!C99+Wat!C99+San!C99+Ref!C99+Mayor!C99+CFO!C99+MB!C99+Infra!C99</f>
        <v>-1822000</v>
      </c>
      <c r="D99" s="89">
        <f>+Cs!D99+Fin!D99+Rat!D99+MM!D99+Lib!D99+Pry!D99+Hal!D99+Cem!D99+Par!D99+EDv!E98+Str!D99+Ele!D99+Wat!D99+San!D99+Ref!D99+Mayor!D99+CFO!D99+MB!D99+Infra!D99</f>
        <v>-1345000</v>
      </c>
      <c r="E99" s="235">
        <f>+Cs!E99+Fin!E99+Rat!E99+MM!E99+Lib!E99+Pry!E99+Hal!E99+Cem!E99+Par!E99+EDv!F98+Str!E99+Ele!E99+Wat!E99+San!E99+Ref!E99+Mayor!E99+CFO!E99+MB!E99+Infra!E99</f>
        <v>-1000000</v>
      </c>
      <c r="F99" s="235">
        <f>+Cs!F99+Fin!F99+Rat!F99+MM!F99+Lib!F99+Pry!F99+Hal!F99+Cem!F99+Par!F99+EDv!G98+Str!F99+Ele!F99+Wat!F99+San!F99+Ref!F99+Mayor!F99+CFO!F99+MB!F99+Infra!F99</f>
        <v>-1046000</v>
      </c>
      <c r="G99" s="235">
        <f>+Cs!G99+Fin!G99+Rat!G99+MM!G99+Lib!G99+Pry!G99+Hal!G99+Cem!G99+Par!G99+EDv!H98+Str!G99+Ele!G99+Wat!G99+San!G99+Ref!G99+Mayor!G99+CFO!G99+MB!G99+Infra!G99</f>
        <v>-1095000</v>
      </c>
      <c r="H99" s="66" t="s">
        <v>3497</v>
      </c>
      <c r="I99" s="66"/>
    </row>
    <row r="100" spans="1:9" x14ac:dyDescent="0.35">
      <c r="A100" s="66" t="s">
        <v>2867</v>
      </c>
      <c r="B100" s="89">
        <f>+Cs!B100+Fin!B100+Rat!B100+MM!B100+Lib!B100+Pry!B100+Hal!B100+Cem!B100+Par!B100+EDv!C99+Str!B100+Ele!B100+Wat!B100+San!B100+Ref!B100+Mayor!B100+CFO!B100+MB!B100+Infra!B100</f>
        <v>-63000</v>
      </c>
      <c r="C100" s="89">
        <f>+Cs!C100+Fin!C100+Rat!C100+MM!C100+Lib!C100+Pry!C100+Hal!C100+Cem!C100+Par!C100+EDv!D99+Str!C100+Ele!C100+Wat!C100+San!C100+Ref!C100+Mayor!C100+CFO!C100+MB!C100+Infra!C100</f>
        <v>-13000</v>
      </c>
      <c r="D100" s="89">
        <f>+Cs!D100+Fin!D100+Rat!D100+MM!D100+Lib!D100+Pry!D100+Hal!D100+Cem!D100+Par!D100+EDv!E99+Str!D100+Ele!D100+Wat!D100+San!D100+Ref!D100+Mayor!D100+CFO!D100+MB!D100+Infra!D100</f>
        <v>-62500</v>
      </c>
      <c r="E100" s="235">
        <f>+Cs!E100+Fin!E100+Rat!E100+MM!E100+Lib!E100+Pry!E100+Hal!E100+Cem!E100+Par!E100+EDv!F99+Str!E100+Ele!E100+Wat!E100+San!E100+Ref!E100+Mayor!E100+CFO!E100+MB!E100+Infra!E100</f>
        <v>-71400</v>
      </c>
      <c r="F100" s="235">
        <f>+Cs!F100+Fin!F100+Rat!F100+MM!F100+Lib!F100+Pry!F100+Hal!F100+Cem!F100+Par!F100+EDv!G99+Str!F100+Ele!F100+Wat!F100+San!F100+Ref!F100+Mayor!F100+CFO!F100+MB!F100+Infra!F100</f>
        <v>-74600</v>
      </c>
      <c r="G100" s="235">
        <f>+Cs!G100+Fin!G100+Rat!G100+MM!G100+Lib!G100+Pry!G100+Hal!G100+Cem!G100+Par!G100+EDv!H99+Str!G100+Ele!G100+Wat!G100+San!G100+Ref!G100+Mayor!G100+CFO!G100+MB!G100+Infra!G100</f>
        <v>-78000</v>
      </c>
      <c r="H100" s="66" t="s">
        <v>2716</v>
      </c>
      <c r="I100" s="66"/>
    </row>
    <row r="101" spans="1:9" x14ac:dyDescent="0.35">
      <c r="A101" s="66" t="s">
        <v>2868</v>
      </c>
      <c r="B101" s="89">
        <f>+Cs!B101+Fin!B101+Rat!B101+MM!B101+Lib!B101+Pry!B101+Hal!B101+Cem!B101+Par!B101+EDv!C100+Str!B101+Ele!B101+Wat!B101+San!B101+Ref!B101+Mayor!B101+CFO!B101+MB!B101+Infra!B101</f>
        <v>-81400</v>
      </c>
      <c r="C101" s="89">
        <f>+Cs!C101+Fin!C101+Rat!C101+MM!C101+Lib!C101+Pry!C101+Hal!C101+Cem!C101+Par!C101+EDv!D100+Str!C101+Ele!C101+Wat!C101+San!C101+Ref!C101+Mayor!C101+CFO!C101+MB!C101+Infra!C101</f>
        <v>-81400</v>
      </c>
      <c r="D101" s="89">
        <f>+Cs!D101+Fin!D101+Rat!D101+MM!D101+Lib!D101+Pry!D101+Hal!D101+Cem!D101+Par!D101+EDv!E100+Str!D101+Ele!D101+Wat!D101+San!D101+Ref!D101+Mayor!D101+CFO!D101+MB!D101+Infra!D101</f>
        <v>-81000</v>
      </c>
      <c r="E101" s="235">
        <f>+Cs!E101+Fin!E101+Rat!E101+MM!E101+Lib!E101+Pry!E101+Hal!E101+Cem!E101+Par!E101+EDv!F100+Str!E101+Ele!E101+Wat!E101+San!E101+Ref!E101+Mayor!E101+CFO!E101+MB!E101+Infra!E101</f>
        <v>-84900</v>
      </c>
      <c r="F101" s="235">
        <f>+Cs!F101+Fin!F101+Rat!F101+MM!F101+Lib!F101+Pry!F101+Hal!F101+Cem!F101+Par!F101+EDv!G100+Str!F101+Ele!F101+Wat!F101+San!F101+Ref!F101+Mayor!F101+CFO!F101+MB!F101+Infra!F101</f>
        <v>-93400</v>
      </c>
      <c r="G101" s="235">
        <f>+Cs!G101+Fin!G101+Rat!G101+MM!G101+Lib!G101+Pry!G101+Hal!G101+Cem!G101+Par!G101+EDv!H100+Str!G101+Ele!G101+Wat!G101+San!G101+Ref!G101+Mayor!G101+CFO!G101+MB!G101+Infra!G101</f>
        <v>-102800</v>
      </c>
      <c r="H101" s="66" t="s">
        <v>2716</v>
      </c>
      <c r="I101" s="66"/>
    </row>
    <row r="102" spans="1:9" x14ac:dyDescent="0.35">
      <c r="A102" s="66" t="s">
        <v>2869</v>
      </c>
      <c r="B102" s="89">
        <f>+Cs!B102+Fin!B102+Rat!B102+MM!B102+Lib!B102+Pry!B102+Hal!B102+Cem!B102+Par!B102+EDv!C101+Str!B102+Ele!B102+Wat!B102+San!B102+Ref!B102+Mayor!B102+CFO!B102+MB!B102+Infra!B102</f>
        <v>-34000</v>
      </c>
      <c r="C102" s="89">
        <f>+Cs!C102+Fin!C102+Rat!C102+MM!C102+Lib!C102+Pry!C102+Hal!C102+Cem!C102+Par!C102+EDv!D101+Str!C102+Ele!C102+Wat!C102+San!C102+Ref!C102+Mayor!C102+CFO!C102+MB!C102+Infra!C102</f>
        <v>-34000</v>
      </c>
      <c r="D102" s="89">
        <f>+Cs!D102+Fin!D102+Rat!D102+MM!D102+Lib!D102+Pry!D102+Hal!D102+Cem!D102+Par!D102+EDv!E101+Str!D102+Ele!D102+Wat!D102+San!D102+Ref!D102+Mayor!D102+CFO!D102+MB!D102+Infra!D102</f>
        <v>-30000</v>
      </c>
      <c r="E102" s="235">
        <f>+Cs!E102+Fin!E102+Rat!E102+MM!E102+Lib!E102+Pry!E102+Hal!E102+Cem!E102+Par!E102+EDv!F101+Str!E102+Ele!E102+Wat!E102+San!E102+Ref!E102+Mayor!E102+CFO!E102+MB!E102+Infra!E102</f>
        <v>-32100</v>
      </c>
      <c r="F102" s="235">
        <f>+Cs!F102+Fin!F102+Rat!F102+MM!F102+Lib!F102+Pry!F102+Hal!F102+Cem!F102+Par!F102+EDv!G101+Str!F102+Ele!F102+Wat!F102+San!F102+Ref!F102+Mayor!F102+CFO!F102+MB!F102+Infra!F102</f>
        <v>-34400</v>
      </c>
      <c r="G102" s="235">
        <f>+Cs!G102+Fin!G102+Rat!G102+MM!G102+Lib!G102+Pry!G102+Hal!G102+Cem!G102+Par!G102+EDv!H101+Str!G102+Ele!G102+Wat!G102+San!G102+Ref!G102+Mayor!G102+CFO!G102+MB!G102+Infra!G102</f>
        <v>-36900</v>
      </c>
      <c r="H102" s="66" t="s">
        <v>2716</v>
      </c>
      <c r="I102" s="66"/>
    </row>
    <row r="103" spans="1:9" x14ac:dyDescent="0.35">
      <c r="A103" s="66" t="s">
        <v>2866</v>
      </c>
      <c r="B103" s="89">
        <f>+Cs!B103+Fin!B103+Rat!B103+MM!B103+Lib!B103+Pry!B103+Hal!B103+Cem!B103+Par!B103+EDv!C102+Str!B103+Ele!B103+Wat!B103+San!B103+Ref!B103+Mayor!B103+CFO!B103+MB!B103+Infra!B103</f>
        <v>-39000</v>
      </c>
      <c r="C103" s="89">
        <f>+Cs!C103+Fin!C103+Rat!C103+MM!C103+Lib!C103+Pry!C103+Hal!C103+Cem!C103+Par!C103+EDv!D102+Str!C103+Ele!C103+Wat!C103+San!C103+Ref!C103+Mayor!C103+CFO!C103+MB!C103+Infra!C103</f>
        <v>-39000</v>
      </c>
      <c r="D103" s="89">
        <f>+Cs!D103+Fin!D103+Rat!D103+MM!D103+Lib!D103+Pry!D103+Hal!D103+Cem!D103+Par!D103+EDv!E102+Str!D103+Ele!D103+Wat!D103+San!D103+Ref!D103+Mayor!D103+CFO!D103+MB!D103+Infra!D103</f>
        <v>-37200</v>
      </c>
      <c r="E103" s="235">
        <f>+Cs!E103+Fin!E103+Rat!E103+MM!E103+Lib!E103+Pry!E103+Hal!E103+Cem!E103+Par!E103+EDv!F102+Str!E103+Ele!E103+Wat!E103+San!E103+Ref!E103+Mayor!E103+CFO!E103+MB!E103+Infra!E103</f>
        <v>-40000</v>
      </c>
      <c r="F103" s="235">
        <f>+Cs!F103+Fin!F103+Rat!F103+MM!F103+Lib!F103+Pry!F103+Hal!F103+Cem!F103+Par!F103+EDv!G102+Str!F103+Ele!F103+Wat!F103+San!F103+Ref!F103+Mayor!F103+CFO!F103+MB!F103+Infra!F103</f>
        <v>-41900</v>
      </c>
      <c r="G103" s="235">
        <f>+Cs!G103+Fin!G103+Rat!G103+MM!G103+Lib!G103+Pry!G103+Hal!G103+Cem!G103+Par!G103+EDv!H102+Str!G103+Ele!G103+Wat!G103+San!G103+Ref!G103+Mayor!G103+CFO!G103+MB!G103+Infra!G103</f>
        <v>-43800</v>
      </c>
      <c r="H103" s="66" t="s">
        <v>2716</v>
      </c>
      <c r="I103" s="66"/>
    </row>
    <row r="104" spans="1:9" x14ac:dyDescent="0.35">
      <c r="A104" s="66" t="s">
        <v>2870</v>
      </c>
      <c r="B104" s="89">
        <f>+Cs!B104+Fin!B104+Rat!B104+MM!B104+Lib!B104+Pry!B104+Hal!B104+Cem!B104+Par!B104+EDv!C103+Str!B104+Ele!B104+Wat!B104+San!B104+Ref!B104+Mayor!B104+CFO!B104+MB!B104+Infra!B104</f>
        <v>-1200</v>
      </c>
      <c r="C104" s="89">
        <f>+Cs!C104+Fin!C104+Rat!C104+MM!C104+Lib!C104+Pry!C104+Hal!C104+Cem!C104+Par!C104+EDv!D103+Str!C104+Ele!C104+Wat!C104+San!C104+Ref!C104+Mayor!C104+CFO!C104+MB!C104+Infra!C104</f>
        <v>-1200</v>
      </c>
      <c r="D104" s="89">
        <f>+Cs!D104+Fin!D104+Rat!D104+MM!D104+Lib!D104+Pry!D104+Hal!D104+Cem!D104+Par!D104+EDv!E103+Str!D104+Ele!D104+Wat!D104+San!D104+Ref!D104+Mayor!D104+CFO!D104+MB!D104+Infra!D104</f>
        <v>-1200</v>
      </c>
      <c r="E104" s="235">
        <f>+Cs!E104+Fin!E104+Rat!E104+MM!E104+Lib!E104+Pry!E104+Hal!E104+Cem!E104+Par!E104+EDv!F103+Str!E104+Ele!E104+Wat!E104+San!E104+Ref!E104+Mayor!E104+CFO!E104+MB!E104+Infra!E104</f>
        <v>-1200</v>
      </c>
      <c r="F104" s="235">
        <f>+Cs!F104+Fin!F104+Rat!F104+MM!F104+Lib!F104+Pry!F104+Hal!F104+Cem!F104+Par!F104+EDv!G103+Str!F104+Ele!F104+Wat!F104+San!F104+Ref!F104+Mayor!F104+CFO!F104+MB!F104+Infra!F104</f>
        <v>-1200</v>
      </c>
      <c r="G104" s="235">
        <f>+Cs!G104+Fin!G104+Rat!G104+MM!G104+Lib!G104+Pry!G104+Hal!G104+Cem!G104+Par!G104+EDv!H103+Str!G104+Ele!G104+Wat!G104+San!G104+Ref!G104+Mayor!G104+CFO!G104+MB!G104+Infra!G104</f>
        <v>-1200</v>
      </c>
      <c r="H104" s="66" t="s">
        <v>2716</v>
      </c>
      <c r="I104" s="66"/>
    </row>
    <row r="105" spans="1:9" x14ac:dyDescent="0.35">
      <c r="A105" s="66" t="s">
        <v>2842</v>
      </c>
      <c r="B105" s="89">
        <f>+Cs!B105+Fin!B105+Rat!B105+MM!B105+Lib!B105+Pry!B105+Hal!B105+Cem!B105+Par!B105+EDv!C104+Str!B105+Ele!B105+Wat!B105+San!B105+Ref!B105+Mayor!B105+CFO!B105+MB!B105+Infra!B105</f>
        <v>-10000</v>
      </c>
      <c r="C105" s="89">
        <f>+Cs!C105+Fin!C105+Rat!C105+MM!C105+Lib!C105+Pry!C105+Hal!C105+Cem!C105+Par!C105+EDv!D104+Str!C105+Ele!C105+Wat!C105+San!C105+Ref!C105+Mayor!C105+CFO!C105+MB!C105+Infra!C105</f>
        <v>-10000</v>
      </c>
      <c r="D105" s="89">
        <f>+Cs!D105+Fin!D105+Rat!D105+MM!D105+Lib!D105+Pry!D105+Hal!D105+Cem!D105+Par!D105+EDv!E104+Str!D105+Ele!D105+Wat!D105+San!D105+Ref!D105+Mayor!D105+CFO!D105+MB!D105+Infra!D105</f>
        <v>0</v>
      </c>
      <c r="E105" s="235">
        <f>+Cs!E105+Fin!E105+Rat!E105+MM!E105+Lib!E105+Pry!E105+Hal!E105+Cem!E105+Par!E105+EDv!F104+Str!E105+Ele!E105+Wat!E105+San!E105+Ref!E105+Mayor!E105+CFO!E105+MB!E105+Infra!E105</f>
        <v>-1000</v>
      </c>
      <c r="F105" s="235">
        <f>+Cs!F105+Fin!F105+Rat!F105+MM!F105+Lib!F105+Pry!F105+Hal!F105+Cem!F105+Par!F105+EDv!G104+Str!F105+Ele!F105+Wat!F105+San!F105+Ref!F105+Mayor!F105+CFO!F105+MB!F105+Infra!F105</f>
        <v>-1100</v>
      </c>
      <c r="G105" s="235">
        <f>+Cs!G105+Fin!G105+Rat!G105+MM!G105+Lib!G105+Pry!G105+Hal!G105+Cem!G105+Par!G105+EDv!H104+Str!G105+Ele!G105+Wat!G105+San!G105+Ref!G105+Mayor!G105+CFO!G105+MB!G105+Infra!G105</f>
        <v>-1200</v>
      </c>
      <c r="H105" s="66" t="s">
        <v>2707</v>
      </c>
      <c r="I105" s="66"/>
    </row>
    <row r="106" spans="1:9" x14ac:dyDescent="0.35">
      <c r="A106" s="66" t="s">
        <v>2843</v>
      </c>
      <c r="B106" s="89">
        <f>+Cs!B106+Fin!B106+Rat!B106+MM!B106+Lib!B106+Pry!B106+Hal!B106+Cem!B106+Par!B106+EDv!C105+Str!B106+Ele!B106+Wat!B106+San!B106+Ref!B106+Mayor!B106+CFO!B106+MB!B106+Infra!B106</f>
        <v>0</v>
      </c>
      <c r="C106" s="89">
        <f>+Cs!C106+Fin!C106+Rat!C106+MM!C106+Lib!C106+Pry!C106+Hal!C106+Cem!C106+Par!C106+EDv!D105+Str!C106+Ele!C106+Wat!C106+San!C106+Ref!C106+Mayor!C106+CFO!C106+MB!C106+Infra!C106</f>
        <v>0</v>
      </c>
      <c r="D106" s="89">
        <f>+Cs!D106+Fin!D106+Rat!D106+MM!D106+Lib!D106+Pry!D106+Hal!D106+Cem!D106+Par!D106+EDv!E105+Str!D106+Ele!D106+Wat!D106+San!D106+Ref!D106+Mayor!D106+CFO!D106+MB!D106+Infra!D106</f>
        <v>0</v>
      </c>
      <c r="E106" s="235">
        <f>+Cs!E106+Fin!E106+Rat!E106+MM!E106+Lib!E106+Pry!E106+Hal!E106+Cem!E106+Par!E106+EDv!F105+Str!E106+Ele!E106+Wat!E106+San!E106+Ref!E106+Mayor!E106+CFO!E106+MB!E106+Infra!E106</f>
        <v>0</v>
      </c>
      <c r="F106" s="235">
        <f>+Cs!F106+Fin!F106+Rat!F106+MM!F106+Lib!F106+Pry!F106+Hal!F106+Cem!F106+Par!F106+EDv!G105+Str!F106+Ele!F106+Wat!F106+San!F106+Ref!F106+Mayor!F106+CFO!F106+MB!F106+Infra!F106</f>
        <v>0</v>
      </c>
      <c r="G106" s="235">
        <f>+Cs!G106+Fin!G106+Rat!G106+MM!G106+Lib!G106+Pry!G106+Hal!G106+Cem!G106+Par!G106+EDv!H105+Str!G106+Ele!G106+Wat!G106+San!G106+Ref!G106+Mayor!G106+CFO!G106+MB!G106+Infra!G106</f>
        <v>0</v>
      </c>
      <c r="H106" s="66" t="s">
        <v>2707</v>
      </c>
      <c r="I106" s="66"/>
    </row>
    <row r="107" spans="1:9" x14ac:dyDescent="0.35">
      <c r="A107" s="66" t="s">
        <v>2973</v>
      </c>
      <c r="B107" s="89">
        <f>+Cs!B107+Fin!B107+Rat!B107+MM!B107+Lib!B107+Pry!B107+Hal!B107+Cem!B107+Par!B107+EDv!C106+Str!B107+Ele!B107+Wat!B107+San!B107+Ref!B107+Mayor!B107+CFO!B107+MB!B107+Infra!B107</f>
        <v>-4000</v>
      </c>
      <c r="C107" s="89">
        <f>+Cs!C107+Fin!C107+Rat!C107+MM!C107+Lib!C107+Pry!C107+Hal!C107+Cem!C107+Par!C107+EDv!D106+Str!C107+Ele!C107+Wat!C107+San!C107+Ref!C107+Mayor!C107+CFO!C107+MB!C107+Infra!C107</f>
        <v>-4000</v>
      </c>
      <c r="D107" s="89">
        <f>+Cs!D107+Fin!D107+Rat!D107+MM!D107+Lib!D107+Pry!D107+Hal!D107+Cem!D107+Par!D107+EDv!E106+Str!D107+Ele!D107+Wat!D107+San!D107+Ref!D107+Mayor!D107+CFO!D107+MB!D107+Infra!D107</f>
        <v>-792.18000000000006</v>
      </c>
      <c r="E107" s="235">
        <f>+Cs!E107+Fin!E107+Rat!E107+MM!E107+Lib!E107+Pry!E107+Hal!E107+Cem!E107+Par!E107+EDv!F106+Str!E107+Ele!E107+Wat!E107+San!E107+Ref!E107+Mayor!E107+CFO!E107+MB!E107+Infra!E107</f>
        <v>-1500</v>
      </c>
      <c r="F107" s="235">
        <f>+Cs!F107+Fin!F107+Rat!F107+MM!F107+Lib!F107+Pry!F107+Hal!F107+Cem!F107+Par!F107+EDv!G106+Str!F107+Ele!F107+Wat!F107+San!F107+Ref!F107+Mayor!F107+CFO!F107+MB!F107+Infra!F107</f>
        <v>-1700</v>
      </c>
      <c r="G107" s="235">
        <f>+Cs!G107+Fin!G107+Rat!G107+MM!G107+Lib!G107+Pry!G107+Hal!G107+Cem!G107+Par!G107+EDv!H106+Str!G107+Ele!G107+Wat!G107+San!G107+Ref!G107+Mayor!G107+CFO!G107+MB!G107+Infra!G107</f>
        <v>-1900</v>
      </c>
      <c r="H107" s="66" t="s">
        <v>2707</v>
      </c>
      <c r="I107" s="66"/>
    </row>
    <row r="108" spans="1:9" x14ac:dyDescent="0.35">
      <c r="A108" s="66" t="s">
        <v>2969</v>
      </c>
      <c r="B108" s="89">
        <f>+Cs!B108+Fin!B108+Rat!B108+MM!B108+Lib!B108+Pry!B108+Hal!B108+Cem!B108+Par!B108+EDv!C107+Str!B108+Ele!B108+Wat!B108+San!B108+Ref!B108+Mayor!B108+CFO!B108+MB!B108+Infra!B108</f>
        <v>-8000</v>
      </c>
      <c r="C108" s="89">
        <f>+Cs!C108+Fin!C108+Rat!C108+MM!C108+Lib!C108+Pry!C108+Hal!C108+Cem!C108+Par!C108+EDv!D107+Str!C108+Ele!C108+Wat!C108+San!C108+Ref!C108+Mayor!C108+CFO!C108+MB!C108+Infra!C108</f>
        <v>-8000</v>
      </c>
      <c r="D108" s="89">
        <f>+Cs!D108+Fin!D108+Rat!D108+MM!D108+Lib!D108+Pry!D108+Hal!D108+Cem!D108+Par!D108+EDv!E107+Str!D108+Ele!D108+Wat!D108+San!D108+Ref!D108+Mayor!D108+CFO!D108+MB!D108+Infra!D108</f>
        <v>-7500</v>
      </c>
      <c r="E108" s="235">
        <f>+Cs!E108+Fin!E108+Rat!E108+MM!E108+Lib!E108+Pry!E108+Hal!E108+Cem!E108+Par!E108+EDv!F107+Str!E108+Ele!E108+Wat!E108+San!E108+Ref!E108+Mayor!E108+CFO!E108+MB!E108+Infra!E108</f>
        <v>-8000</v>
      </c>
      <c r="F108" s="235">
        <f>+Cs!F108+Fin!F108+Rat!F108+MM!F108+Lib!F108+Pry!F108+Hal!F108+Cem!F108+Par!F108+EDv!G107+Str!F108+Ele!F108+Wat!F108+San!F108+Ref!F108+Mayor!F108+CFO!F108+MB!F108+Infra!F108</f>
        <v>-8500</v>
      </c>
      <c r="G108" s="235">
        <f>+Cs!G108+Fin!G108+Rat!G108+MM!G108+Lib!G108+Pry!G108+Hal!G108+Cem!G108+Par!G108+EDv!H107+Str!G108+Ele!G108+Wat!G108+San!G108+Ref!G108+Mayor!G108+CFO!G108+MB!G108+Infra!G108</f>
        <v>-9000</v>
      </c>
      <c r="H108" s="66" t="s">
        <v>2707</v>
      </c>
      <c r="I108" s="66"/>
    </row>
    <row r="109" spans="1:9" x14ac:dyDescent="0.35">
      <c r="A109" s="66" t="s">
        <v>2944</v>
      </c>
      <c r="B109" s="89">
        <f>+Cs!B109+Fin!B109+Rat!B109+MM!B109+Lib!B109+Pry!B109+Hal!B109+Cem!B109+Par!B109+EDv!C108+Str!B109+Ele!B109+Wat!B109+San!B109+Ref!B109+Mayor!B109+CFO!B109+MB!B109+Infra!B109</f>
        <v>-3000</v>
      </c>
      <c r="C109" s="89">
        <f>+Cs!C109+Fin!C109+Rat!C109+MM!C109+Lib!C109+Pry!C109+Hal!C109+Cem!C109+Par!C109+EDv!D108+Str!C109+Ele!C109+Wat!C109+San!C109+Ref!C109+Mayor!C109+CFO!C109+MB!C109+Infra!C109</f>
        <v>-2000</v>
      </c>
      <c r="D109" s="89">
        <f>+Cs!D109+Fin!D109+Rat!D109+MM!D109+Lib!D109+Pry!D109+Hal!D109+Cem!D109+Par!D109+EDv!E108+Str!D109+Ele!D109+Wat!D109+San!D109+Ref!D109+Mayor!D109+CFO!D109+MB!D109+Infra!D109</f>
        <v>0</v>
      </c>
      <c r="E109" s="235">
        <f>+Cs!E109+Fin!E109+Rat!E109+MM!E109+Lib!E109+Pry!E109+Hal!E109+Cem!E109+Par!E109+EDv!F108+Str!E109+Ele!E109+Wat!E109+San!E109+Ref!E109+Mayor!E109+CFO!E109+MB!E109+Infra!E109</f>
        <v>-1000</v>
      </c>
      <c r="F109" s="235">
        <f>+Cs!F109+Fin!F109+Rat!F109+MM!F109+Lib!F109+Pry!F109+Hal!F109+Cem!F109+Par!F109+EDv!G108+Str!F109+Ele!F109+Wat!F109+San!F109+Ref!F109+Mayor!F109+CFO!F109+MB!F109+Infra!F109</f>
        <v>-1000</v>
      </c>
      <c r="G109" s="235">
        <f>+Cs!G109+Fin!G109+Rat!G109+MM!G109+Lib!G109+Pry!G109+Hal!G109+Cem!G109+Par!G109+EDv!H108+Str!G109+Ele!G109+Wat!G109+San!G109+Ref!G109+Mayor!G109+CFO!G109+MB!G109+Infra!G109</f>
        <v>-1000</v>
      </c>
      <c r="H109" s="66" t="s">
        <v>2705</v>
      </c>
      <c r="I109" s="66"/>
    </row>
    <row r="110" spans="1:9" x14ac:dyDescent="0.35">
      <c r="A110" s="66" t="s">
        <v>2943</v>
      </c>
      <c r="B110" s="89">
        <f>+Cs!B110+Fin!B110+Rat!B110+MM!B110+Lib!B110+Pry!B110+Hal!B110+Cem!B110+Par!B110+EDv!C109+Str!B110+Ele!B110+Wat!B110+San!B110+Ref!B110+Mayor!B110+CFO!B110+MB!B110+Infra!B110</f>
        <v>-11600</v>
      </c>
      <c r="C110" s="89">
        <f>+Cs!C110+Fin!C110+Rat!C110+MM!C110+Lib!C110+Pry!C110+Hal!C110+Cem!C110+Par!C110+EDv!D109+Str!C110+Ele!C110+Wat!C110+San!C110+Ref!C110+Mayor!C110+CFO!C110+MB!C110+Infra!C110</f>
        <v>-11600</v>
      </c>
      <c r="D110" s="89">
        <f>+Cs!D110+Fin!D110+Rat!D110+MM!D110+Lib!D110+Pry!D110+Hal!D110+Cem!D110+Par!D110+EDv!E109+Str!D110+Ele!D110+Wat!D110+San!D110+Ref!D110+Mayor!D110+CFO!D110+MB!D110+Infra!D110</f>
        <v>-5890</v>
      </c>
      <c r="E110" s="235">
        <f>+Cs!E110+Fin!E110+Rat!E110+MM!E110+Lib!E110+Pry!E110+Hal!E110+Cem!E110+Par!E110+EDv!F109+Str!E110+Ele!E110+Wat!E110+San!E110+Ref!E110+Mayor!E110+CFO!E110+MB!E110+Infra!E110</f>
        <v>-11600</v>
      </c>
      <c r="F110" s="235">
        <f>+Cs!F110+Fin!F110+Rat!F110+MM!F110+Lib!F110+Pry!F110+Hal!F110+Cem!F110+Par!F110+EDv!G109+Str!F110+Ele!F110+Wat!F110+San!F110+Ref!F110+Mayor!F110+CFO!F110+MB!F110+Infra!F110</f>
        <v>-12200</v>
      </c>
      <c r="G110" s="235">
        <f>+Cs!G110+Fin!G110+Rat!G110+MM!G110+Lib!G110+Pry!G110+Hal!G110+Cem!G110+Par!G110+EDv!H109+Str!G110+Ele!G110+Wat!G110+San!G110+Ref!G110+Mayor!G110+CFO!G110+MB!G110+Infra!G110</f>
        <v>-12900</v>
      </c>
      <c r="H110" s="66" t="s">
        <v>3465</v>
      </c>
      <c r="I110" s="66" t="s">
        <v>2620</v>
      </c>
    </row>
    <row r="111" spans="1:9" x14ac:dyDescent="0.35">
      <c r="A111" s="66" t="s">
        <v>2831</v>
      </c>
      <c r="B111" s="89">
        <f>+Cs!B111+Fin!B111+Rat!B111+MM!B111+Lib!B111+Pry!B111+Hal!B111+Cem!B111+Par!B111+EDv!C110+Str!B111+Ele!B111+Wat!B111+San!B111+Ref!B111+Mayor!B111+CFO!B111+MB!B111+Infra!B111</f>
        <v>0</v>
      </c>
      <c r="C111" s="89">
        <f>+Cs!C111+Fin!C111+Rat!C111+MM!C111+Lib!C111+Pry!C111+Hal!C111+Cem!C111+Par!C111+EDv!D110+Str!C111+Ele!C111+Wat!C111+San!C111+Ref!C111+Mayor!C111+CFO!C111+MB!C111+Infra!C111</f>
        <v>0</v>
      </c>
      <c r="D111" s="89">
        <f>+Cs!D111+Fin!D111+Rat!D111+MM!D111+Lib!D111+Pry!D111+Hal!D111+Cem!D111+Par!D111+EDv!E110+Str!D111+Ele!D111+Wat!D111+San!D111+Ref!D111+Mayor!D111+CFO!D111+MB!D111+Infra!D111</f>
        <v>0</v>
      </c>
      <c r="E111" s="89">
        <f>+Cs!E111+Fin!E111+Rat!E111+MM!E111+Lib!E111+Pry!E111+Hal!E111+Cem!E111+Par!E111+EDv!F110+Str!E111+Ele!E111+Wat!E111+San!E111+Ref!E111+Mayor!E111+CFO!E111+MB!E111+Infra!E111</f>
        <v>0</v>
      </c>
      <c r="F111" s="89">
        <f>+Cs!F111+Fin!F111+Rat!F111+MM!F111+Lib!F111+Pry!F111+Hal!F111+Cem!F111+Par!F111+EDv!G110+Str!F111+Ele!F111+Wat!F111+San!F111+Ref!F111+Mayor!F111+CFO!F111+MB!F111+Infra!F111</f>
        <v>-10000000</v>
      </c>
      <c r="G111" s="89">
        <f>+Cs!G111+Fin!G111+Rat!G111+MM!G111+Lib!G111+Pry!G111+Hal!G111+Cem!G111+Par!G111+EDv!H110+Str!G111+Ele!G111+Wat!G111+San!G111+Ref!G111+Mayor!G111+CFO!G111+MB!G111+Infra!G111</f>
        <v>0</v>
      </c>
      <c r="H111" s="66" t="s">
        <v>3467</v>
      </c>
      <c r="I111" s="66" t="s">
        <v>3466</v>
      </c>
    </row>
    <row r="112" spans="1:9" x14ac:dyDescent="0.35">
      <c r="A112" s="66" t="s">
        <v>2940</v>
      </c>
      <c r="B112" s="89">
        <f>+Cs!B112+Fin!B112+Rat!B112+MM!B112+Lib!B112+Pry!B112+Hal!B112+Cem!B112+Par!B112+EDv!C111+Str!B112+Ele!B112+Wat!B112+San!B112+Ref!B112+Mayor!B112+CFO!B112+MB!B112+Infra!B112</f>
        <v>-2000</v>
      </c>
      <c r="C112" s="89">
        <f>+Cs!C112+Fin!C112+Rat!C112+MM!C112+Lib!C112+Pry!C112+Hal!C112+Cem!C112+Par!C112+EDv!D111+Str!C112+Ele!C112+Wat!C112+San!C112+Ref!C112+Mayor!C112+CFO!C112+MB!C112+Infra!C112</f>
        <v>-2000</v>
      </c>
      <c r="D112" s="89">
        <f>+Cs!D112+Fin!D112+Rat!D112+MM!D112+Lib!D112+Pry!D112+Hal!D112+Cem!D112+Par!D112+EDv!E111+Str!D112+Ele!D112+Wat!D112+San!D112+Ref!D112+Mayor!D112+CFO!D112+MB!D112+Infra!D112</f>
        <v>-450</v>
      </c>
      <c r="E112" s="235">
        <f>+Cs!E112+Fin!E112+Rat!E112+MM!E112+Lib!E112+Pry!E112+Hal!E112+Cem!E112+Par!E112+EDv!F111+Str!E112+Ele!E112+Wat!E112+San!E112+Ref!E112+Mayor!E112+CFO!E112+MB!E112+Infra!E112</f>
        <v>-2000</v>
      </c>
      <c r="F112" s="235">
        <f>+Cs!F112+Fin!F112+Rat!F112+MM!F112+Lib!F112+Pry!F112+Hal!F112+Cem!F112+Par!F112+EDv!G111+Str!F112+Ele!F112+Wat!F112+San!F112+Ref!F112+Mayor!F112+CFO!F112+MB!F112+Infra!F112</f>
        <v>-2200</v>
      </c>
      <c r="G112" s="235">
        <f>+Cs!G112+Fin!G112+Rat!G112+MM!G112+Lib!G112+Pry!G112+Hal!G112+Cem!G112+Par!G112+EDv!H111+Str!G112+Ele!G112+Wat!G112+San!G112+Ref!G112+Mayor!G112+CFO!G112+MB!G112+Infra!G112</f>
        <v>-2400</v>
      </c>
      <c r="H112" s="66" t="s">
        <v>3465</v>
      </c>
      <c r="I112" s="66" t="s">
        <v>2620</v>
      </c>
    </row>
    <row r="113" spans="1:9" x14ac:dyDescent="0.35">
      <c r="A113" s="66" t="s">
        <v>2942</v>
      </c>
      <c r="B113" s="89">
        <f>+Cs!B113+Fin!B113+Rat!B113+MM!B113+Lib!B113+Pry!B113+Hal!B113+Cem!B113+Par!B113+EDv!C112+Str!B113+Ele!B113+Wat!B113+San!B113+Ref!B113+Mayor!B113+CFO!B113+MB!B113+Infra!B113</f>
        <v>-3600</v>
      </c>
      <c r="C113" s="89">
        <f>+Cs!C113+Fin!C113+Rat!C113+MM!C113+Lib!C113+Pry!C113+Hal!C113+Cem!C113+Par!C113+EDv!D112+Str!C113+Ele!C113+Wat!C113+San!C113+Ref!C113+Mayor!C113+CFO!C113+MB!C113+Infra!C113</f>
        <v>-3600</v>
      </c>
      <c r="D113" s="89">
        <f>+Cs!D113+Fin!D113+Rat!D113+MM!D113+Lib!D113+Pry!D113+Hal!D113+Cem!D113+Par!D113+EDv!E112+Str!D113+Ele!D113+Wat!D113+San!D113+Ref!D113+Mayor!D113+CFO!D113+MB!D113+Infra!D113</f>
        <v>-4812.33</v>
      </c>
      <c r="E113" s="235">
        <f>+Cs!E113+Fin!E113+Rat!E113+MM!E113+Lib!E113+Pry!E113+Hal!E113+Cem!E113+Par!E113+EDv!F112+Str!E113+Ele!E113+Wat!E113+San!E113+Ref!E113+Mayor!E113+CFO!E113+MB!E113+Infra!E113</f>
        <v>-3600</v>
      </c>
      <c r="F113" s="235">
        <f>+Cs!F113+Fin!F113+Rat!F113+MM!F113+Lib!F113+Pry!F113+Hal!F113+Cem!F113+Par!F113+EDv!G112+Str!F113+Ele!F113+Wat!F113+San!F113+Ref!F113+Mayor!F113+CFO!F113+MB!F113+Infra!F113</f>
        <v>-3800</v>
      </c>
      <c r="G113" s="235">
        <f>+Cs!G113+Fin!G113+Rat!G113+MM!G113+Lib!G113+Pry!G113+Hal!G113+Cem!G113+Par!G113+EDv!H112+Str!G113+Ele!G113+Wat!G113+San!G113+Ref!G113+Mayor!G113+CFO!G113+MB!G113+Infra!G113</f>
        <v>-4000</v>
      </c>
      <c r="H113" s="66" t="s">
        <v>3465</v>
      </c>
      <c r="I113" s="66" t="s">
        <v>2620</v>
      </c>
    </row>
    <row r="114" spans="1:9" x14ac:dyDescent="0.35">
      <c r="A114" s="66" t="s">
        <v>3530</v>
      </c>
      <c r="B114" s="89">
        <f>+Cs!B114+Fin!B114+Rat!B114+MM!B114+Lib!B114+Pry!B114+Hal!B114+Cem!B114+Par!B114+EDv!C113+Str!B114+Ele!B114+Wat!B114+San!B114+Ref!B114+Mayor!B114+CFO!B114+MB!B114+Infra!B114</f>
        <v>-4700700</v>
      </c>
      <c r="C114" s="89">
        <f>+Cs!C114+Fin!C114+Rat!C114+MM!C114+Lib!C114+Pry!C114+Hal!C114+Cem!C114+Par!C114+EDv!D113+Str!C114+Ele!C114+Wat!C114+San!C114+Ref!C114+Mayor!C114+CFO!C114+MB!C114+Infra!C114</f>
        <v>-4555700</v>
      </c>
      <c r="D114" s="89">
        <f>+Cs!D114+Fin!D114+Rat!D114+MM!D114+Lib!D114+Pry!D114+Hal!D114+Cem!D114+Par!D114+EDv!E113+Str!D114+Ele!D114+Wat!D114+San!D114+Ref!D114+Mayor!D114+CFO!D114+MB!D114+Infra!D114</f>
        <v>-4565232.8600000003</v>
      </c>
      <c r="E114" s="235">
        <f>+Cs!E114+Fin!E114+Rat!E114+MM!E114+Lib!E114+Pry!E114+Hal!E114+Cem!E114+Par!E114+EDv!F113+Str!E114+Ele!E114+Wat!E114+San!E114+Ref!E114+Mayor!E114+CFO!E114+MB!E114+Infra!E114</f>
        <v>-4907700</v>
      </c>
      <c r="F114" s="235">
        <f>+Cs!F114+Fin!F114+Rat!F114+MM!F114+Lib!F114+Pry!F114+Hal!F114+Cem!F114+Par!F114+EDv!G113+Str!F114+Ele!F114+Wat!F114+San!F114+Ref!F114+Mayor!F114+CFO!F114+MB!F114+Infra!F114</f>
        <v>-5133500</v>
      </c>
      <c r="G114" s="235">
        <f>+Cs!G114+Fin!G114+Rat!G114+MM!G114+Lib!G114+Pry!G114+Hal!G114+Cem!G114+Par!G114+EDv!H113+Str!G114+Ele!G114+Wat!G114+San!G114+Ref!G114+Mayor!G114+CFO!G114+MB!G114+Infra!G114</f>
        <v>-5369700</v>
      </c>
      <c r="H114" s="66" t="s">
        <v>3465</v>
      </c>
      <c r="I114" s="66" t="s">
        <v>2620</v>
      </c>
    </row>
    <row r="115" spans="1:9" x14ac:dyDescent="0.35">
      <c r="A115" s="66" t="s">
        <v>3528</v>
      </c>
      <c r="B115" s="89">
        <f>+Cs!B115+Fin!B115+Rat!B115+MM!B115+Lib!B115+Pry!B115+Hal!B115+Cem!B115+Par!B115+EDv!C114+Str!B115+Ele!B115+Wat!B115+San!B115+Ref!B115+Mayor!B115+CFO!B115+MB!B115+Infra!B115</f>
        <v>0</v>
      </c>
      <c r="C115" s="89">
        <f>+Cs!C115+Fin!C115+Rat!C115+MM!C115+Lib!C115+Pry!C115+Hal!C115+Cem!C115+Par!C115+EDv!D114+Str!C115+Ele!C115+Wat!C115+San!C115+Ref!C115+Mayor!C115+CFO!C115+MB!C115+Infra!C115</f>
        <v>0</v>
      </c>
      <c r="D115" s="89">
        <f>+Cs!D115+Fin!D115+Rat!D115+MM!D115+Lib!D115+Pry!D115+Hal!D115+Cem!D115+Par!D115+EDv!E114+Str!D115+Ele!D115+Wat!D115+San!D115+Ref!D115+Mayor!D115+CFO!D115+MB!D115+Infra!D115</f>
        <v>-33364.379999999997</v>
      </c>
      <c r="E115" s="235">
        <f>+Cs!E115+Fin!E115+Rat!E115+MM!E115+Lib!E115+Pry!E115+Hal!E115+Cem!E115+Par!E115+EDv!F114+Str!E115+Ele!E115+Wat!E115+San!E115+Ref!E115+Mayor!E115+CFO!E115+MB!E115+Infra!E115</f>
        <v>-35900</v>
      </c>
      <c r="F115" s="235">
        <f>+Cs!F115+Fin!F115+Rat!F115+MM!F115+Lib!F115+Pry!F115+Hal!F115+Cem!F115+Par!F115+EDv!G114+Str!F115+Ele!F115+Wat!F115+San!F115+Ref!F115+Mayor!F115+CFO!F115+MB!F115+Infra!F115</f>
        <v>-37600</v>
      </c>
      <c r="G115" s="235">
        <f>+Cs!G115+Fin!G115+Rat!G115+MM!G115+Lib!G115+Pry!G115+Hal!G115+Cem!G115+Par!G115+EDv!H114+Str!G115+Ele!G115+Wat!G115+San!G115+Ref!G115+Mayor!G115+CFO!G115+MB!G115+Infra!G115</f>
        <v>-39400</v>
      </c>
      <c r="H115" s="66" t="s">
        <v>3465</v>
      </c>
      <c r="I115" s="66" t="s">
        <v>2620</v>
      </c>
    </row>
    <row r="116" spans="1:9" x14ac:dyDescent="0.35">
      <c r="A116" s="66" t="s">
        <v>3529</v>
      </c>
      <c r="B116" s="89">
        <f>+Cs!B116+Fin!B116+Rat!B116+MM!B116+Lib!B116+Pry!B116+Hal!B116+Cem!B116+Par!B116+EDv!C115+Str!B116+Ele!B116+Wat!B116+San!B116+Ref!B116+Mayor!B116+CFO!B116+MB!B116+Infra!B116</f>
        <v>0</v>
      </c>
      <c r="C116" s="89">
        <f>+Cs!C116+Fin!C116+Rat!C116+MM!C116+Lib!C116+Pry!C116+Hal!C116+Cem!C116+Par!C116+EDv!D115+Str!C116+Ele!C116+Wat!C116+San!C116+Ref!C116+Mayor!C116+CFO!C116+MB!C116+Infra!C116</f>
        <v>0</v>
      </c>
      <c r="D116" s="89">
        <f>+Cs!D116+Fin!D116+Rat!D116+MM!D116+Lib!D116+Pry!D116+Hal!D116+Cem!D116+Par!D116+EDv!E115+Str!D116+Ele!D116+Wat!D116+San!D116+Ref!D116+Mayor!D116+CFO!D116+MB!D116+Infra!D116</f>
        <v>0</v>
      </c>
      <c r="E116" s="235">
        <f>+Cs!E116+Fin!E116+Rat!E116+MM!E116+Lib!E116+Pry!E116+Hal!E116+Cem!E116+Par!E116+EDv!F115+Str!E116+Ele!E116+Wat!E116+San!E116+Ref!E116+Mayor!E116+CFO!E116+MB!E116+Infra!E116</f>
        <v>0</v>
      </c>
      <c r="F116" s="235">
        <f>+Cs!F116+Fin!F116+Rat!F116+MM!F116+Lib!F116+Pry!F116+Hal!F116+Cem!F116+Par!F116+EDv!G115+Str!F116+Ele!F116+Wat!F116+San!F116+Ref!F116+Mayor!F116+CFO!F116+MB!F116+Infra!F116</f>
        <v>0</v>
      </c>
      <c r="G116" s="235">
        <f>+Cs!G116+Fin!G116+Rat!G116+MM!G116+Lib!G116+Pry!G116+Hal!G116+Cem!G116+Par!G116+EDv!H115+Str!G116+Ele!G116+Wat!G116+San!G116+Ref!G116+Mayor!G116+CFO!G116+MB!G116+Infra!G116</f>
        <v>0</v>
      </c>
      <c r="H116" s="66" t="s">
        <v>3465</v>
      </c>
      <c r="I116" s="66" t="s">
        <v>2620</v>
      </c>
    </row>
    <row r="117" spans="1:9" x14ac:dyDescent="0.35">
      <c r="A117" s="66" t="s">
        <v>3531</v>
      </c>
      <c r="B117" s="89">
        <f>+Cs!B117+Fin!B117+Rat!B117+MM!B117+Lib!B117+Pry!B117+Hal!B117+Cem!B117+Par!B117+EDv!C116+Str!B117+Ele!B117+Wat!B117+San!B117+Ref!B117+Mayor!B117+CFO!B117+MB!B117+Infra!B117</f>
        <v>0</v>
      </c>
      <c r="C117" s="89">
        <f>+Cs!C117+Fin!C117+Rat!C117+MM!C117+Lib!C117+Pry!C117+Hal!C117+Cem!C117+Par!C117+EDv!D116+Str!C117+Ele!C117+Wat!C117+San!C117+Ref!C117+Mayor!C117+CFO!C117+MB!C117+Infra!C117</f>
        <v>0</v>
      </c>
      <c r="D117" s="89">
        <f>+Cs!D117+Fin!D117+Rat!D117+MM!D117+Lib!D117+Pry!D117+Hal!D117+Cem!D117+Par!D117+EDv!E116+Str!D117+Ele!D117+Wat!D117+San!D117+Ref!D117+Mayor!D117+CFO!D117+MB!D117+Infra!D117</f>
        <v>-522771.24</v>
      </c>
      <c r="E117" s="235">
        <f>+Cs!E117+Fin!E117+Rat!E117+MM!E117+Lib!E117+Pry!E117+Hal!E117+Cem!E117+Par!E117+EDv!F116+Str!E117+Ele!E117+Wat!E117+San!E117+Ref!E117+Mayor!E117+CFO!E117+MB!E117+Infra!E117</f>
        <v>-562000</v>
      </c>
      <c r="F117" s="235">
        <f>+Cs!F117+Fin!F117+Rat!F117+MM!F117+Lib!F117+Pry!F117+Hal!F117+Cem!F117+Par!F117+EDv!G116+Str!F117+Ele!F117+Wat!F117+San!F117+Ref!F117+Mayor!F117+CFO!F117+MB!F117+Infra!F117</f>
        <v>-587900</v>
      </c>
      <c r="G117" s="235">
        <f>+Cs!G117+Fin!G117+Rat!G117+MM!G117+Lib!G117+Pry!G117+Hal!G117+Cem!G117+Par!G117+EDv!H116+Str!G117+Ele!G117+Wat!G117+San!G117+Ref!G117+Mayor!G117+CFO!G117+MB!G117+Infra!G117</f>
        <v>-615000</v>
      </c>
      <c r="H117" s="66" t="s">
        <v>3465</v>
      </c>
      <c r="I117" s="66" t="s">
        <v>2620</v>
      </c>
    </row>
    <row r="118" spans="1:9" x14ac:dyDescent="0.35">
      <c r="A118" s="66" t="s">
        <v>2941</v>
      </c>
      <c r="B118" s="89">
        <f>+Cs!B118+Fin!B118+Rat!B118+MM!B118+Lib!B118+Pry!B118+Hal!B118+Cem!B118+Par!B118+EDv!C117+Str!B118+Ele!B118+Wat!B118+San!B118+Ref!B118+Mayor!B118+CFO!B118+MB!B118+Infra!B118</f>
        <v>-12000</v>
      </c>
      <c r="C118" s="89">
        <f>+Cs!C118+Fin!C118+Rat!C118+MM!C118+Lib!C118+Pry!C118+Hal!C118+Cem!C118+Par!C118+EDv!D117+Str!C118+Ele!C118+Wat!C118+San!C118+Ref!C118+Mayor!C118+CFO!C118+MB!C118+Infra!C118</f>
        <v>0</v>
      </c>
      <c r="D118" s="89">
        <f>+Cs!D118+Fin!D118+Rat!D118+MM!D118+Lib!D118+Pry!D118+Hal!D118+Cem!D118+Par!D118+EDv!E117+Str!D118+Ele!D118+Wat!D118+San!D118+Ref!D118+Mayor!D118+CFO!D118+MB!D118+Infra!D118</f>
        <v>-6000</v>
      </c>
      <c r="E118" s="235">
        <f>+Cs!E118+Fin!E118+Rat!E118+MM!E118+Lib!E118+Pry!E118+Hal!E118+Cem!E118+Par!E118+EDv!F117+Str!E118+Ele!E118+Wat!E118+San!E118+Ref!E118+Mayor!E118+CFO!E118+MB!E118+Infra!E118</f>
        <v>-12000</v>
      </c>
      <c r="F118" s="235">
        <f>+Cs!F118+Fin!F118+Rat!F118+MM!F118+Lib!F118+Pry!F118+Hal!F118+Cem!F118+Par!F118+EDv!G117+Str!F118+Ele!F118+Wat!F118+San!F118+Ref!F118+Mayor!F118+CFO!F118+MB!F118+Infra!F118</f>
        <v>-12000</v>
      </c>
      <c r="G118" s="235">
        <f>+Cs!G118+Fin!G118+Rat!G118+MM!G118+Lib!G118+Pry!G118+Hal!G118+Cem!G118+Par!G118+EDv!H117+Str!G118+Ele!G118+Wat!G118+San!G118+Ref!G118+Mayor!G118+CFO!G118+MB!G118+Infra!G118</f>
        <v>-12000</v>
      </c>
      <c r="H118" s="66" t="s">
        <v>2705</v>
      </c>
      <c r="I118" s="66"/>
    </row>
    <row r="119" spans="1:9" x14ac:dyDescent="0.35">
      <c r="A119" s="66" t="s">
        <v>2970</v>
      </c>
      <c r="B119" s="89">
        <f>+Cs!B119+Fin!B119+Rat!B119+MM!B119+Lib!B119+Pry!B119+Hal!B119+Cem!B119+Par!B119+EDv!C118+Str!B119+Ele!B119+Wat!B119+San!B119+Ref!B119+Mayor!B119+CFO!B119+MB!B119+Infra!B119</f>
        <v>-2300</v>
      </c>
      <c r="C119" s="89">
        <f>+Cs!C119+Fin!C119+Rat!C119+MM!C119+Lib!C119+Pry!C119+Hal!C119+Cem!C119+Par!C119+EDv!D118+Str!C119+Ele!C119+Wat!C119+San!C119+Ref!C119+Mayor!C119+CFO!C119+MB!C119+Infra!C119</f>
        <v>-2300</v>
      </c>
      <c r="D119" s="89">
        <f>+Cs!D119+Fin!D119+Rat!D119+MM!D119+Lib!D119+Pry!D119+Hal!D119+Cem!D119+Par!D119+EDv!E118+Str!D119+Ele!D119+Wat!D119+San!D119+Ref!D119+Mayor!D119+CFO!D119+MB!D119+Infra!D119</f>
        <v>-1600</v>
      </c>
      <c r="E119" s="235">
        <f>+Cs!E119+Fin!E119+Rat!E119+MM!E119+Lib!E119+Pry!E119+Hal!E119+Cem!E119+Par!E119+EDv!F118+Str!E119+Ele!E119+Wat!E119+San!E119+Ref!E119+Mayor!E119+CFO!E119+MB!E119+Infra!E119</f>
        <v>-2000</v>
      </c>
      <c r="F119" s="235">
        <f>+Cs!F119+Fin!F119+Rat!F119+MM!F119+Lib!F119+Pry!F119+Hal!F119+Cem!F119+Par!F119+EDv!G118+Str!F119+Ele!F119+Wat!F119+San!F119+Ref!F119+Mayor!F119+CFO!F119+MB!F119+Infra!F119</f>
        <v>-2000</v>
      </c>
      <c r="G119" s="235">
        <f>+Cs!G119+Fin!G119+Rat!G119+MM!G119+Lib!G119+Pry!G119+Hal!G119+Cem!G119+Par!G119+EDv!H118+Str!G119+Ele!G119+Wat!G119+San!G119+Ref!G119+Mayor!G119+CFO!G119+MB!G119+Infra!G119</f>
        <v>-2000</v>
      </c>
      <c r="H119" s="66" t="s">
        <v>2707</v>
      </c>
      <c r="I119" s="66"/>
    </row>
    <row r="121" spans="1:9" ht="15" thickBot="1" x14ac:dyDescent="0.4">
      <c r="A121" s="117" t="s">
        <v>2545</v>
      </c>
      <c r="B121" s="112">
        <f t="shared" ref="B121:G121" si="0">SUM(B2:B119)</f>
        <v>-94175000</v>
      </c>
      <c r="C121" s="112">
        <f t="shared" si="0"/>
        <v>-68643000</v>
      </c>
      <c r="D121" s="112">
        <f t="shared" si="0"/>
        <v>-68381192.609999999</v>
      </c>
      <c r="E121" s="112">
        <f t="shared" si="0"/>
        <v>-71361100</v>
      </c>
      <c r="F121" s="112">
        <f t="shared" si="0"/>
        <v>-86333300</v>
      </c>
      <c r="G121" s="112">
        <f t="shared" si="0"/>
        <v>-79619500</v>
      </c>
    </row>
    <row r="122" spans="1:9" ht="15" thickTop="1" x14ac:dyDescent="0.35">
      <c r="C122" s="130"/>
      <c r="E122" s="111"/>
      <c r="F122" s="111"/>
      <c r="G122" s="111"/>
    </row>
    <row r="123" spans="1:9" x14ac:dyDescent="0.35">
      <c r="A123" s="117" t="s">
        <v>2676</v>
      </c>
      <c r="B123" s="111"/>
      <c r="C123" s="111"/>
      <c r="D123" s="130"/>
      <c r="E123" s="130">
        <f>+E121-E65</f>
        <v>-63296100</v>
      </c>
      <c r="F123" s="130">
        <f>+F121-F111-F65-F49</f>
        <v>-65981300</v>
      </c>
      <c r="G123" s="130">
        <f>+G121-G65-G49</f>
        <v>-69057500</v>
      </c>
      <c r="H123" s="227"/>
    </row>
    <row r="125" spans="1:9" x14ac:dyDescent="0.35">
      <c r="A125" s="66" t="s">
        <v>3438</v>
      </c>
      <c r="B125" s="89">
        <f>+Cs!B125+Fin!B125+Rat!B125+MM!B125+Lib!B125+Pry!B125+Hal!B125+Cem!B125+Par!B125+EDv!C101+Str!B125+Ele!B125+Wat!B125+San!B125+Ref!B125+Mayor!B125+CFO!B125+MB!B125+Infra!B125</f>
        <v>202400</v>
      </c>
      <c r="C125" s="89">
        <f>+Cs!C125+Fin!C125+Rat!C125+MM!C125+Lib!C125+Pry!C125+Hal!C125+Cem!C125+Par!C125+EDv!D101+Str!C125+Ele!C125+Wat!C125+San!C125+Ref!C125+Mayor!C125+CFO!C125+MB!C125+Infra!C125</f>
        <v>202400</v>
      </c>
      <c r="D125" s="89">
        <f>+Cs!D125+Fin!D125+Rat!D125+MM!D125+Lib!D125+Pry!D125+Hal!D125+Cem!D125+Par!D125+EDv!E101+Str!D125+Ele!D125+Wat!D125+San!D125+Ref!D125+Mayor!D125+CFO!D125+MB!D125+Infra!D125</f>
        <v>200817</v>
      </c>
      <c r="E125" s="235">
        <f>+Cs!E125+Fin!E125+Rat!E125+MM!E125+Lib!E125+Pry!E125+Hal!E125+Cem!E125+Par!E125+EDv!F101+Str!E125+Ele!E125+Wat!E125+San!E125+Ref!E125+Mayor!E125+CFO!E125+MB!E125+Infra!E125</f>
        <v>211900</v>
      </c>
      <c r="F125" s="235">
        <f>+Cs!F125+Fin!F125+Rat!F125+MM!F125+Lib!F125+Pry!F125+Hal!F125+Cem!F125+Par!F125+EDv!G101+Str!F125+Ele!F125+Wat!F125+San!F125+Ref!F125+Mayor!F125+CFO!F125+MB!F125+Infra!F125</f>
        <v>222800</v>
      </c>
      <c r="G125" s="235">
        <f>+Cs!G125+Fin!G125+Rat!G125+MM!G125+Lib!G125+Pry!G125+Hal!G125+Cem!G125+Par!G125+EDv!H101+Str!G125+Ele!G125+Wat!G125+San!G125+Ref!G125+Mayor!G125+CFO!G125+MB!G125+Infra!G125</f>
        <v>234200</v>
      </c>
      <c r="H125" s="66" t="s">
        <v>2722</v>
      </c>
      <c r="I125" s="66"/>
    </row>
    <row r="126" spans="1:9" x14ac:dyDescent="0.35">
      <c r="A126" s="66" t="s">
        <v>3510</v>
      </c>
      <c r="B126" s="89">
        <f>+Cs!B126+Fin!B126+Rat!B126+MM!B126+Lib!B126+Pry!B126+Hal!B126+Cem!B126+Par!B126+EDv!C102+Str!B126+Ele!B126+Wat!B126+San!B126+Ref!B126+Mayor!B126+CFO!B126+MB!B126+Infra!B126</f>
        <v>15000</v>
      </c>
      <c r="C126" s="89">
        <f>+Cs!C126+Fin!C126+Rat!C126+MM!C126+Lib!C126+Pry!C126+Hal!C126+Cem!C126+Par!C126+EDv!D102+Str!C126+Ele!C126+Wat!C126+San!C126+Ref!C126+Mayor!C126+CFO!C126+MB!C126+Infra!C126</f>
        <v>15000</v>
      </c>
      <c r="D126" s="89">
        <f>+Cs!D126+Fin!D126+Rat!D126+MM!D126+Lib!D126+Pry!D126+Hal!D126+Cem!D126+Par!D126+EDv!E102+Str!D126+Ele!D126+Wat!D126+San!D126+Ref!D126+Mayor!D126+CFO!D126+MB!D126+Infra!D126</f>
        <v>0</v>
      </c>
      <c r="E126" s="235">
        <f>+Cs!E126+Fin!E126+Rat!E126+MM!E126+Lib!E126+Pry!E126+Hal!E126+Cem!E126+Par!E126+EDv!F102+Str!E126+Ele!E126+Wat!E126+San!E126+Ref!E126+Mayor!E126+CFO!E126+MB!E126+Infra!E126</f>
        <v>16000</v>
      </c>
      <c r="F126" s="235">
        <f>+Cs!F126+Fin!F126+Rat!F126+MM!F126+Lib!F126+Pry!F126+Hal!F126+Cem!F126+Par!F126+EDv!G102+Str!F126+Ele!F126+Wat!F126+San!F126+Ref!F126+Mayor!F126+CFO!F126+MB!F126+Infra!F126</f>
        <v>0</v>
      </c>
      <c r="G126" s="235">
        <f>+Cs!G126+Fin!G126+Rat!G126+MM!G126+Lib!G126+Pry!G126+Hal!G126+Cem!G126+Par!G126+EDv!H102+Str!G126+Ele!G126+Wat!G126+San!G126+Ref!G126+Mayor!G126+CFO!G126+MB!G126+Infra!G126</f>
        <v>0</v>
      </c>
      <c r="H126" s="66" t="s">
        <v>2722</v>
      </c>
      <c r="I126" s="66"/>
    </row>
    <row r="127" spans="1:9" x14ac:dyDescent="0.35">
      <c r="A127" s="66" t="s">
        <v>2822</v>
      </c>
      <c r="B127" s="89">
        <f>+Cs!B127+Fin!B127+Rat!B127+MM!B127+Lib!B127+Pry!B127+Hal!B127+Cem!B127+Par!B127+EDv!C103+Str!B127+Ele!B127+Wat!B127+San!B127+Ref!B127+Mayor!B127+CFO!B127+MB!B127+Infra!B127</f>
        <v>150000</v>
      </c>
      <c r="C127" s="89">
        <f>+Cs!C127+Fin!C127+Rat!C127+MM!C127+Lib!C127+Pry!C127+Hal!C127+Cem!C127+Par!C127+EDv!D103+Str!C127+Ele!C127+Wat!C127+San!C127+Ref!C127+Mayor!C127+CFO!C127+MB!C127+Infra!C127</f>
        <v>0</v>
      </c>
      <c r="D127" s="89">
        <f>+Cs!D127+Fin!D127+Rat!D127+MM!D127+Lib!D127+Pry!D127+Hal!D127+Cem!D127+Par!D127+EDv!E103+Str!D127+Ele!D127+Wat!D127+San!D127+Ref!D127+Mayor!D127+CFO!D127+MB!D127+Infra!D127</f>
        <v>0</v>
      </c>
      <c r="E127" s="235">
        <f>+Cs!E127+Fin!E127+Rat!E127+MM!E127+Lib!E127+Pry!E127+Hal!E127+Cem!E127+Par!E127+EDv!F103+Str!E127+Ele!E127+Wat!E127+San!E127+Ref!E127+Mayor!E127+CFO!E127+MB!E127+Infra!E127</f>
        <v>70000</v>
      </c>
      <c r="F127" s="235">
        <f>+Cs!F127+Fin!F127+Rat!F127+MM!F127+Lib!F127+Pry!F127+Hal!F127+Cem!F127+Par!F127+EDv!G103+Str!F127+Ele!F127+Wat!F127+San!F127+Ref!F127+Mayor!F127+CFO!F127+MB!F127+Infra!F127</f>
        <v>73300</v>
      </c>
      <c r="G127" s="235">
        <f>+Cs!G127+Fin!G127+Rat!G127+MM!G127+Lib!G127+Pry!G127+Hal!G127+Cem!G127+Par!G127+EDv!H103+Str!G127+Ele!G127+Wat!G127+San!G127+Ref!G127+Mayor!G127+CFO!G127+MB!G127+Infra!G127</f>
        <v>76700</v>
      </c>
      <c r="H127" s="66" t="s">
        <v>2722</v>
      </c>
      <c r="I127" s="66"/>
    </row>
    <row r="128" spans="1:9" x14ac:dyDescent="0.35">
      <c r="A128" s="66" t="s">
        <v>2821</v>
      </c>
      <c r="B128" s="89">
        <f>+Cs!B128+Fin!B128+Rat!B128+MM!B128+Lib!B128+Pry!B128+Hal!B128+Cem!B128+Par!B128+EDv!C104+Str!B128+Ele!B128+Wat!B128+San!B128+Ref!B128+Mayor!B128+CFO!B128+MB!B128+Infra!B128</f>
        <v>43000</v>
      </c>
      <c r="C128" s="89">
        <f>+Cs!C128+Fin!C128+Rat!C128+MM!C128+Lib!C128+Pry!C128+Hal!C128+Cem!C128+Par!C128+EDv!D104+Str!C128+Ele!C128+Wat!C128+San!C128+Ref!C128+Mayor!C128+CFO!C128+MB!C128+Infra!C128</f>
        <v>43000</v>
      </c>
      <c r="D128" s="89">
        <f>+Cs!D128+Fin!D128+Rat!D128+MM!D128+Lib!D128+Pry!D128+Hal!D128+Cem!D128+Par!D128+EDv!E104+Str!D128+Ele!D128+Wat!D128+San!D128+Ref!D128+Mayor!D128+CFO!D128+MB!D128+Infra!D128</f>
        <v>31985.32</v>
      </c>
      <c r="E128" s="235">
        <f>+Cs!E128+Fin!E128+Rat!E128+MM!E128+Lib!E128+Pry!E128+Hal!E128+Cem!E128+Par!E128+EDv!F104+Str!E128+Ele!E128+Wat!E128+San!E128+Ref!E128+Mayor!E128+CFO!E128+MB!E128+Infra!E128</f>
        <v>104000</v>
      </c>
      <c r="F128" s="235">
        <f>+Cs!F128+Fin!F128+Rat!F128+MM!F128+Lib!F128+Pry!F128+Hal!F128+Cem!F128+Par!F128+EDv!G104+Str!F128+Ele!F128+Wat!F128+San!F128+Ref!F128+Mayor!F128+CFO!F128+MB!F128+Infra!F128</f>
        <v>45300</v>
      </c>
      <c r="G128" s="235">
        <f>+Cs!G128+Fin!G128+Rat!G128+MM!G128+Lib!G128+Pry!G128+Hal!G128+Cem!G128+Par!G128+EDv!H104+Str!G128+Ele!G128+Wat!G128+San!G128+Ref!G128+Mayor!G128+CFO!G128+MB!G128+Infra!G128</f>
        <v>47700</v>
      </c>
      <c r="H128" s="66" t="s">
        <v>2722</v>
      </c>
      <c r="I128" s="66"/>
    </row>
    <row r="129" spans="1:9" x14ac:dyDescent="0.35">
      <c r="A129" s="66" t="s">
        <v>2820</v>
      </c>
      <c r="B129" s="89">
        <f>+Cs!B129+Fin!B129+Rat!B129+MM!B129+Lib!B129+Pry!B129+Hal!B129+Cem!B129+Par!B129+EDv!C105+Str!B129+Ele!B129+Wat!B129+San!B129+Ref!B129+Mayor!B129+CFO!B129+MB!B129+Infra!B129</f>
        <v>96000</v>
      </c>
      <c r="C129" s="89">
        <f>+Cs!C129+Fin!C129+Rat!C129+MM!C129+Lib!C129+Pry!C129+Hal!C129+Cem!C129+Par!C129+EDv!D105+Str!C129+Ele!C129+Wat!C129+San!C129+Ref!C129+Mayor!C129+CFO!C129+MB!C129+Infra!C129</f>
        <v>50000</v>
      </c>
      <c r="D129" s="89">
        <f>+Cs!D129+Fin!D129+Rat!D129+MM!D129+Lib!D129+Pry!D129+Hal!D129+Cem!D129+Par!D129+EDv!E105+Str!D129+Ele!D129+Wat!D129+San!D129+Ref!D129+Mayor!D129+CFO!D129+MB!D129+Infra!D129</f>
        <v>78000</v>
      </c>
      <c r="E129" s="235">
        <f>+Cs!E129+Fin!E129+Rat!E129+MM!E129+Lib!E129+Pry!E129+Hal!E129+Cem!E129+Par!E129+EDv!F105+Str!E129+Ele!E129+Wat!E129+San!E129+Ref!E129+Mayor!E129+CFO!E129+MB!E129+Infra!E129</f>
        <v>80000</v>
      </c>
      <c r="F129" s="235">
        <f>+Cs!F129+Fin!F129+Rat!F129+MM!F129+Lib!F129+Pry!F129+Hal!F129+Cem!F129+Par!F129+EDv!G105+Str!F129+Ele!F129+Wat!F129+San!F129+Ref!F129+Mayor!F129+CFO!F129+MB!F129+Infra!F129</f>
        <v>83700</v>
      </c>
      <c r="G129" s="235">
        <f>+Cs!G129+Fin!G129+Rat!G129+MM!G129+Lib!G129+Pry!G129+Hal!G129+Cem!G129+Par!G129+EDv!H105+Str!G129+Ele!G129+Wat!G129+San!G129+Ref!G129+Mayor!G129+CFO!G129+MB!G129+Infra!G129</f>
        <v>87600</v>
      </c>
      <c r="H129" s="66" t="s">
        <v>3491</v>
      </c>
      <c r="I129" s="66"/>
    </row>
    <row r="130" spans="1:9" x14ac:dyDescent="0.35">
      <c r="A130" s="66" t="s">
        <v>2819</v>
      </c>
      <c r="B130" s="89">
        <f>+Cs!B130+Fin!B130+Rat!B130+MM!B130+Lib!B130+Pry!B130+Hal!B130+Cem!B130+Par!B130+EDv!C106+Str!B130+Ele!B130+Wat!B130+San!B130+Ref!B130+Mayor!B130+CFO!B130+MB!B130+Infra!B130</f>
        <v>2160000</v>
      </c>
      <c r="C130" s="89">
        <f>+Cs!C130+Fin!C130+Rat!C130+MM!C130+Lib!C130+Pry!C130+Hal!C130+Cem!C130+Par!C130+EDv!D106+Str!C130+Ele!C130+Wat!C130+San!C130+Ref!C130+Mayor!C130+CFO!C130+MB!C130+Infra!C130</f>
        <v>2100000</v>
      </c>
      <c r="D130" s="89">
        <f>+Cs!D130+Fin!D130+Rat!D130+MM!D130+Lib!D130+Pry!D130+Hal!D130+Cem!D130+Par!D130+EDv!E106+Str!D130+Ele!D130+Wat!D130+San!D130+Ref!D130+Mayor!D130+CFO!D130+MB!D130+Infra!D130</f>
        <v>2209938.77</v>
      </c>
      <c r="E130" s="235">
        <f>+Cs!E130+Fin!E130+Rat!E130+MM!E130+Lib!E130+Pry!E130+Hal!E130+Cem!E130+Par!E130+EDv!F106+Str!E130+Ele!E130+Wat!E130+San!E130+Ref!E130+Mayor!E130+CFO!E130+MB!E130+Infra!E130</f>
        <v>2320000</v>
      </c>
      <c r="F130" s="235">
        <f>+Cs!F130+Fin!F130+Rat!F130+MM!F130+Lib!F130+Pry!F130+Hal!F130+Cem!F130+Par!F130+EDv!G106+Str!F130+Ele!F130+Wat!F130+San!F130+Ref!F130+Mayor!F130+CFO!F130+MB!F130+Infra!F130</f>
        <v>2426800</v>
      </c>
      <c r="G130" s="235">
        <f>+Cs!G130+Fin!G130+Rat!G130+MM!G130+Lib!G130+Pry!G130+Hal!G130+Cem!G130+Par!G130+EDv!H106+Str!G130+Ele!G130+Wat!G130+San!G130+Ref!G130+Mayor!G130+CFO!G130+MB!G130+Infra!G130</f>
        <v>2538400</v>
      </c>
      <c r="H130" s="66" t="s">
        <v>2722</v>
      </c>
      <c r="I130" s="66"/>
    </row>
    <row r="131" spans="1:9" x14ac:dyDescent="0.35">
      <c r="A131" s="66" t="s">
        <v>3440</v>
      </c>
      <c r="B131" s="89">
        <f>+Cs!B131+Fin!B131+Rat!B131+MM!B131+Lib!B131+Pry!B131+Hal!B131+Cem!B131+Par!B131+EDv!C107+Str!B131+Ele!B131+Wat!B131+San!B131+Ref!B131+Mayor!B131+CFO!B131+MB!B131+Infra!B131</f>
        <v>141000</v>
      </c>
      <c r="C131" s="89">
        <f>+Cs!C131+Fin!C131+Rat!C131+MM!C131+Lib!C131+Pry!C131+Hal!C131+Cem!C131+Par!C131+EDv!D107+Str!C131+Ele!C131+Wat!C131+San!C131+Ref!C131+Mayor!C131+CFO!C131+MB!C131+Infra!C131</f>
        <v>40000</v>
      </c>
      <c r="D131" s="89">
        <f>+Cs!D131+Fin!D131+Rat!D131+MM!D131+Lib!D131+Pry!D131+Hal!D131+Cem!D131+Par!D131+EDv!E107+Str!D131+Ele!D131+Wat!D131+San!D131+Ref!D131+Mayor!D131+CFO!D131+MB!D131+Infra!D131</f>
        <v>14970.22</v>
      </c>
      <c r="E131" s="235">
        <f>+Cs!E131+Fin!E131+Rat!E131+MM!E131+Lib!E131+Pry!E131+Hal!E131+Cem!E131+Par!E131+EDv!F107+Str!E131+Ele!E131+Wat!E131+San!E131+Ref!E131+Mayor!E131+CFO!E131+MB!E131+Infra!E131</f>
        <v>0</v>
      </c>
      <c r="F131" s="235">
        <f>+Cs!F131+Fin!F131+Rat!F131+MM!F131+Lib!F131+Pry!F131+Hal!F131+Cem!F131+Par!F131+EDv!G107+Str!F131+Ele!F131+Wat!F131+San!F131+Ref!F131+Mayor!F131+CFO!F131+MB!F131+Infra!F131</f>
        <v>0</v>
      </c>
      <c r="G131" s="235">
        <f>+Cs!G131+Fin!G131+Rat!G131+MM!G131+Lib!G131+Pry!G131+Hal!G131+Cem!G131+Par!G131+EDv!H107+Str!G131+Ele!G131+Wat!G131+San!G131+Ref!G131+Mayor!G131+CFO!G131+MB!G131+Infra!G131</f>
        <v>0</v>
      </c>
      <c r="H131" s="66" t="s">
        <v>3491</v>
      </c>
      <c r="I131" s="66"/>
    </row>
    <row r="132" spans="1:9" x14ac:dyDescent="0.35">
      <c r="A132" s="66" t="s">
        <v>2844</v>
      </c>
      <c r="B132" s="89">
        <f>+Cs!B132+Fin!B132+Rat!B132+MM!B132+Lib!B132+Pry!B132+Hal!B132+Cem!B132+Par!B132+EDv!C108+Str!B132+Ele!B132+Wat!B132+San!B132+Ref!B132+Mayor!B132+CFO!B132+MB!B132+Infra!B132</f>
        <v>270000</v>
      </c>
      <c r="C132" s="89">
        <f>+Cs!C132+Fin!C132+Rat!C132+MM!C132+Lib!C132+Pry!C132+Hal!C132+Cem!C132+Par!C132+EDv!D108+Str!C132+Ele!C132+Wat!C132+San!C132+Ref!C132+Mayor!C132+CFO!C132+MB!C132+Infra!C132</f>
        <v>270000</v>
      </c>
      <c r="D132" s="89">
        <f>+Cs!D132+Fin!D132+Rat!D132+MM!D132+Lib!D132+Pry!D132+Hal!D132+Cem!D132+Par!D132+EDv!E108+Str!D132+Ele!D132+Wat!D132+San!D132+Ref!D132+Mayor!D132+CFO!D132+MB!D132+Infra!D132</f>
        <v>296541.13</v>
      </c>
      <c r="E132" s="235">
        <f>+Cs!E132+Fin!E132+Rat!E132+MM!E132+Lib!E132+Pry!E132+Hal!E132+Cem!E132+Par!E132+EDv!F108+Str!E132+Ele!E132+Wat!E132+San!E132+Ref!E132+Mayor!E132+CFO!E132+MB!E132+Infra!E132</f>
        <v>297000</v>
      </c>
      <c r="F132" s="235">
        <f>+Cs!F132+Fin!F132+Rat!F132+MM!F132+Lib!F132+Pry!F132+Hal!F132+Cem!F132+Par!F132+EDv!G108+Str!F132+Ele!F132+Wat!F132+San!F132+Ref!F132+Mayor!F132+CFO!F132+MB!F132+Infra!F132</f>
        <v>310600</v>
      </c>
      <c r="G132" s="235">
        <f>+Cs!G132+Fin!G132+Rat!G132+MM!G132+Lib!G132+Pry!G132+Hal!G132+Cem!G132+Par!G132+EDv!H108+Str!G132+Ele!G132+Wat!G132+San!G132+Ref!G132+Mayor!G132+CFO!G132+MB!G132+Infra!G132</f>
        <v>324900</v>
      </c>
      <c r="H132" s="66" t="s">
        <v>2722</v>
      </c>
      <c r="I132" s="66"/>
    </row>
    <row r="133" spans="1:9" x14ac:dyDescent="0.35">
      <c r="A133" s="66" t="s">
        <v>2992</v>
      </c>
      <c r="B133" s="89">
        <f>+Cs!B133+Fin!B133+Rat!B133+MM!B133+Lib!B133+Pry!B133+Hal!B133+Cem!B133+Par!B133+EDv!C109+Str!B133+Ele!B133+Wat!B133+San!B133+Ref!B133+Mayor!B133+CFO!B133+MB!B133+Infra!B133</f>
        <v>8758000</v>
      </c>
      <c r="C133" s="89">
        <f>+Cs!C133+Fin!C133+Rat!C133+MM!C133+Lib!C133+Pry!C133+Hal!C133+Cem!C133+Par!C133+EDv!D109+Str!C133+Ele!C133+Wat!C133+San!C133+Ref!C133+Mayor!C133+CFO!C133+MB!C133+Infra!C133</f>
        <v>8167000</v>
      </c>
      <c r="D133" s="89">
        <f>+Cs!D133+Fin!D133+Rat!D133+MM!D133+Lib!D133+Pry!D133+Hal!D133+Cem!D133+Par!D133+EDv!E109+Str!D133+Ele!D133+Wat!D133+San!D133+Ref!D133+Mayor!D133+CFO!D133+MB!D133+Infra!D133</f>
        <v>9394440.9100000001</v>
      </c>
      <c r="E133" s="235">
        <f>+Cs!E133+Fin!E133+Rat!E133+MM!E133+Lib!E133+Pry!E133+Hal!E133+Cem!E133+Par!E133+EDv!F109+Str!E133+Ele!E133+Wat!E133+San!E133+Ref!E133+Mayor!E133+CFO!E133+MB!E133+Infra!E133</f>
        <v>10380000</v>
      </c>
      <c r="F133" s="235">
        <f>+Cs!F133+Fin!F133+Rat!F133+MM!F133+Lib!F133+Pry!F133+Hal!F133+Cem!F133+Par!F133+EDv!G109+Str!F133+Ele!F133+Wat!F133+San!F133+Ref!F133+Mayor!F133+CFO!F133+MB!F133+Infra!F133</f>
        <v>10857500</v>
      </c>
      <c r="G133" s="235">
        <f>+Cs!G133+Fin!G133+Rat!G133+MM!G133+Lib!G133+Pry!G133+Hal!G133+Cem!G133+Par!G133+EDv!H109+Str!G133+Ele!G133+Wat!G133+San!G133+Ref!G133+Mayor!G133+CFO!G133+MB!G133+Infra!G133</f>
        <v>11357000</v>
      </c>
      <c r="H133" s="66" t="s">
        <v>2729</v>
      </c>
      <c r="I133" s="66"/>
    </row>
    <row r="134" spans="1:9" x14ac:dyDescent="0.35">
      <c r="A134" s="66" t="s">
        <v>2644</v>
      </c>
      <c r="B134" s="89">
        <f>+Cs!B134+Fin!B134+Rat!B134+MM!B134+Lib!B134+Pry!B134+Hal!B134+Cem!B134+Par!B134+EDv!C110+Str!B134+Ele!B134+Wat!B134+San!B134+Ref!B134+Mayor!B134+CFO!B134+MB!B134+Infra!B134</f>
        <v>250000</v>
      </c>
      <c r="C134" s="89">
        <f>+Cs!C134+Fin!C134+Rat!C134+MM!C134+Lib!C134+Pry!C134+Hal!C134+Cem!C134+Par!C134+EDv!D110+Str!C134+Ele!C134+Wat!C134+San!C134+Ref!C134+Mayor!C134+CFO!C134+MB!C134+Infra!C134</f>
        <v>250000</v>
      </c>
      <c r="D134" s="89">
        <f>+Cs!D134+Fin!D134+Rat!D134+MM!D134+Lib!D134+Pry!D134+Hal!D134+Cem!D134+Par!D134+EDv!E110+Str!D134+Ele!D134+Wat!D134+San!D134+Ref!D134+Mayor!D134+CFO!D134+MB!D134+Infra!D134</f>
        <v>51216</v>
      </c>
      <c r="E134" s="235">
        <f>+Cs!E134+Fin!E134+Rat!E134+MM!E134+Lib!E134+Pry!E134+Hal!E134+Cem!E134+Par!E134+EDv!F110+Str!E134+Ele!E134+Wat!E134+San!E134+Ref!E134+Mayor!E134+CFO!E134+MB!E134+Infra!E134</f>
        <v>250000</v>
      </c>
      <c r="F134" s="235">
        <f>+Cs!F134+Fin!F134+Rat!F134+MM!F134+Lib!F134+Pry!F134+Hal!F134+Cem!F134+Par!F134+EDv!G110+Str!F134+Ele!F134+Wat!F134+San!F134+Ref!F134+Mayor!F134+CFO!F134+MB!F134+Infra!F134</f>
        <v>263500</v>
      </c>
      <c r="G134" s="235">
        <f>+Cs!G134+Fin!G134+Rat!G134+MM!G134+Lib!G134+Pry!G134+Hal!G134+Cem!G134+Par!G134+EDv!H110+Str!G134+Ele!G134+Wat!G134+San!G134+Ref!G134+Mayor!G134+CFO!G134+MB!G134+Infra!G134</f>
        <v>277800</v>
      </c>
      <c r="H134" s="66" t="s">
        <v>3492</v>
      </c>
      <c r="I134" s="66"/>
    </row>
    <row r="135" spans="1:9" x14ac:dyDescent="0.35">
      <c r="A135" s="66" t="s">
        <v>2845</v>
      </c>
      <c r="B135" s="89">
        <f>+Cs!B135+Fin!B135+Rat!B135+MM!B135+Lib!B135+Pry!B135+Hal!B135+Cem!B135+Par!B135+EDv!C111+Str!B135+Ele!B135+Wat!B135+San!B135+Ref!B135+Mayor!B135+CFO!B135+MB!B135+Infra!B135</f>
        <v>35600</v>
      </c>
      <c r="C135" s="89">
        <f>+Cs!C135+Fin!C135+Rat!C135+MM!C135+Lib!C135+Pry!C135+Hal!C135+Cem!C135+Par!C135+EDv!D111+Str!C135+Ele!C135+Wat!C135+San!C135+Ref!C135+Mayor!C135+CFO!C135+MB!C135+Infra!C135</f>
        <v>35600</v>
      </c>
      <c r="D135" s="89">
        <f>+Cs!D135+Fin!D135+Rat!D135+MM!D135+Lib!D135+Pry!D135+Hal!D135+Cem!D135+Par!D135+EDv!E111+Str!D135+Ele!D135+Wat!D135+San!D135+Ref!D135+Mayor!D135+CFO!D135+MB!D135+Infra!D135</f>
        <v>42496.34</v>
      </c>
      <c r="E135" s="235">
        <f>+Cs!E135+Fin!E135+Rat!E135+MM!E135+Lib!E135+Pry!E135+Hal!E135+Cem!E135+Par!E135+EDv!F111+Str!E135+Ele!E135+Wat!E135+San!E135+Ref!E135+Mayor!E135+CFO!E135+MB!E135+Infra!E135</f>
        <v>45700</v>
      </c>
      <c r="F135" s="235">
        <f>+Cs!F135+Fin!F135+Rat!F135+MM!F135+Lib!F135+Pry!F135+Hal!F135+Cem!F135+Par!F135+EDv!G111+Str!F135+Ele!F135+Wat!F135+San!F135+Ref!F135+Mayor!F135+CFO!F135+MB!F135+Infra!F135</f>
        <v>48000</v>
      </c>
      <c r="G135" s="235">
        <f>+Cs!G135+Fin!G135+Rat!G135+MM!G135+Lib!G135+Pry!G135+Hal!G135+Cem!G135+Par!G135+EDv!H111+Str!G135+Ele!G135+Wat!G135+San!G135+Ref!G135+Mayor!G135+CFO!G135+MB!G135+Infra!G135</f>
        <v>51000</v>
      </c>
      <c r="H135" s="66" t="s">
        <v>3492</v>
      </c>
      <c r="I135" s="66"/>
    </row>
    <row r="136" spans="1:9" x14ac:dyDescent="0.35">
      <c r="A136" s="66" t="s">
        <v>2846</v>
      </c>
      <c r="B136" s="89">
        <f>+Cs!B136+Fin!B136+Rat!B136+MM!B136+Lib!B136+Pry!B136+Hal!B136+Cem!B136+Par!B136+EDv!C112+Str!B136+Ele!B136+Wat!B136+San!B136+Ref!B136+Mayor!B136+CFO!B136+MB!B136+Infra!B136</f>
        <v>0</v>
      </c>
      <c r="C136" s="89">
        <f>+Cs!C136+Fin!C136+Rat!C136+MM!C136+Lib!C136+Pry!C136+Hal!C136+Cem!C136+Par!C136+EDv!D112+Str!C136+Ele!C136+Wat!C136+San!C136+Ref!C136+Mayor!C136+CFO!C136+MB!C136+Infra!C136</f>
        <v>0</v>
      </c>
      <c r="D136" s="89">
        <f>+Cs!D136+Fin!D136+Rat!D136+MM!D136+Lib!D136+Pry!D136+Hal!D136+Cem!D136+Par!D136+EDv!E112+Str!D136+Ele!D136+Wat!D136+San!D136+Ref!D136+Mayor!D136+CFO!D136+MB!D136+Infra!D136</f>
        <v>0</v>
      </c>
      <c r="E136" s="235">
        <f>+Cs!E136+Fin!E136+Rat!E136+MM!E136+Lib!E136+Pry!E136+Hal!E136+Cem!E136+Par!E136+EDv!F112+Str!E136+Ele!E136+Wat!E136+San!E136+Ref!E136+Mayor!E136+CFO!E136+MB!E136+Infra!E136</f>
        <v>0</v>
      </c>
      <c r="F136" s="235">
        <f>+Cs!F136+Fin!F136+Rat!F136+MM!F136+Lib!F136+Pry!F136+Hal!F136+Cem!F136+Par!F136+EDv!G112+Str!F136+Ele!F136+Wat!F136+San!F136+Ref!F136+Mayor!F136+CFO!F136+MB!F136+Infra!F136</f>
        <v>0</v>
      </c>
      <c r="G136" s="235">
        <f>+Cs!G136+Fin!G136+Rat!G136+MM!G136+Lib!G136+Pry!G136+Hal!G136+Cem!G136+Par!G136+EDv!H112+Str!G136+Ele!G136+Wat!G136+San!G136+Ref!G136+Mayor!G136+CFO!G136+MB!G136+Infra!G136</f>
        <v>0</v>
      </c>
      <c r="H136" s="66" t="s">
        <v>2723</v>
      </c>
      <c r="I136" s="66"/>
    </row>
    <row r="137" spans="1:9" x14ac:dyDescent="0.35">
      <c r="A137" s="66" t="s">
        <v>2959</v>
      </c>
      <c r="B137" s="89">
        <f>+Cs!B137+Fin!B137+Rat!B137+MM!B137+Lib!B137+Pry!B137+Hal!B137+Cem!B137+Par!B137+EDv!C113+Str!B137+Ele!B137+Wat!B137+San!B137+Ref!B137+Mayor!B137+CFO!B137+MB!B137+Infra!B137</f>
        <v>240000</v>
      </c>
      <c r="C137" s="89">
        <f>+Cs!C137+Fin!C137+Rat!C137+MM!C137+Lib!C137+Pry!C137+Hal!C137+Cem!C137+Par!C137+EDv!D113+Str!C137+Ele!C137+Wat!C137+San!C137+Ref!C137+Mayor!C137+CFO!C137+MB!C137+Infra!C137</f>
        <v>240000</v>
      </c>
      <c r="D137" s="89">
        <f>+Cs!D137+Fin!D137+Rat!D137+MM!D137+Lib!D137+Pry!D137+Hal!D137+Cem!D137+Par!D137+EDv!E113+Str!D137+Ele!D137+Wat!D137+San!D137+Ref!D137+Mayor!D137+CFO!D137+MB!D137+Infra!D137</f>
        <v>214318.62</v>
      </c>
      <c r="E137" s="235">
        <f>+Cs!E137+Fin!E137+Rat!E137+MM!E137+Lib!E137+Pry!E137+Hal!E137+Cem!E137+Par!E137+EDv!F113+Str!E137+Ele!E137+Wat!E137+San!E137+Ref!E137+Mayor!E137+CFO!E137+MB!E137+Infra!E137</f>
        <v>240000</v>
      </c>
      <c r="F137" s="235">
        <f>+Cs!F137+Fin!F137+Rat!F137+MM!F137+Lib!F137+Pry!F137+Hal!F137+Cem!F137+Par!F137+EDv!G113+Str!F137+Ele!F137+Wat!F137+San!F137+Ref!F137+Mayor!F137+CFO!F137+MB!F137+Infra!F137</f>
        <v>252900</v>
      </c>
      <c r="G137" s="235">
        <f>+Cs!G137+Fin!G137+Rat!G137+MM!G137+Lib!G137+Pry!G137+Hal!G137+Cem!G137+Par!G137+EDv!H113+Str!G137+Ele!G137+Wat!G137+San!G137+Ref!G137+Mayor!G137+CFO!G137+MB!G137+Infra!G137</f>
        <v>266600</v>
      </c>
      <c r="H137" s="66" t="s">
        <v>2722</v>
      </c>
      <c r="I137" s="66"/>
    </row>
    <row r="138" spans="1:9" x14ac:dyDescent="0.35">
      <c r="A138" s="66" t="s">
        <v>2960</v>
      </c>
      <c r="B138" s="89">
        <f>+Cs!B138+Fin!B138+Rat!B138+MM!B138+Lib!B138+Pry!B138+Hal!B138+Cem!B138+Par!B138+EDv!C114+Str!B138+Ele!B138+Wat!B138+San!B138+Ref!B138+Mayor!B138+CFO!B138+MB!B138+Infra!B138</f>
        <v>52000</v>
      </c>
      <c r="C138" s="89">
        <f>+Cs!C138+Fin!C138+Rat!C138+MM!C138+Lib!C138+Pry!C138+Hal!C138+Cem!C138+Par!C138+EDv!D114+Str!C138+Ele!C138+Wat!C138+San!C138+Ref!C138+Mayor!C138+CFO!C138+MB!C138+Infra!C138</f>
        <v>52000</v>
      </c>
      <c r="D138" s="89">
        <f>+Cs!D138+Fin!D138+Rat!D138+MM!D138+Lib!D138+Pry!D138+Hal!D138+Cem!D138+Par!D138+EDv!E114+Str!D138+Ele!D138+Wat!D138+San!D138+Ref!D138+Mayor!D138+CFO!D138+MB!D138+Infra!D138</f>
        <v>19817.650000000001</v>
      </c>
      <c r="E138" s="235">
        <f>+Cs!E138+Fin!E138+Rat!E138+MM!E138+Lib!E138+Pry!E138+Hal!E138+Cem!E138+Par!E138+EDv!F114+Str!E138+Ele!E138+Wat!E138+San!E138+Ref!E138+Mayor!E138+CFO!E138+MB!E138+Infra!E138</f>
        <v>52000</v>
      </c>
      <c r="F138" s="235">
        <f>+Cs!F138+Fin!F138+Rat!F138+MM!F138+Lib!F138+Pry!F138+Hal!F138+Cem!F138+Par!F138+EDv!G114+Str!F138+Ele!F138+Wat!F138+San!F138+Ref!F138+Mayor!F138+CFO!F138+MB!F138+Infra!F138</f>
        <v>54800</v>
      </c>
      <c r="G138" s="235">
        <f>+Cs!G138+Fin!G138+Rat!G138+MM!G138+Lib!G138+Pry!G138+Hal!G138+Cem!G138+Par!G138+EDv!H114+Str!G138+Ele!G138+Wat!G138+San!G138+Ref!G138+Mayor!G138+CFO!G138+MB!G138+Infra!G138</f>
        <v>57800</v>
      </c>
      <c r="H138" s="66" t="s">
        <v>2722</v>
      </c>
      <c r="I138" s="66"/>
    </row>
    <row r="139" spans="1:9" x14ac:dyDescent="0.35">
      <c r="A139" s="66" t="s">
        <v>3546</v>
      </c>
      <c r="B139" s="89">
        <f>+Cs!B139+Fin!B139+Rat!B139+MM!B139+Lib!B139+Pry!B139+Hal!B139+Cem!B139+Par!B139+EDv!C115+Str!B139+Ele!B139+Wat!B139+San!B139+Ref!B139+Mayor!B139+CFO!B139+MB!B139+Infra!B139</f>
        <v>0</v>
      </c>
      <c r="C139" s="89">
        <f>+Cs!C139+Fin!C139+Rat!C139+MM!C139+Lib!C139+Pry!C139+Hal!C139+Cem!C139+Par!C139+EDv!D115+Str!C139+Ele!C139+Wat!C139+San!C139+Ref!C139+Mayor!C139+CFO!C139+MB!C139+Infra!C139</f>
        <v>0</v>
      </c>
      <c r="D139" s="89">
        <f>+Cs!D139+Fin!D139+Rat!D139+MM!D139+Lib!D139+Pry!D139+Hal!D139+Cem!D139+Par!D139+EDv!E115+Str!D139+Ele!D139+Wat!D139+San!D139+Ref!D139+Mayor!D139+CFO!D139+MB!D139+Infra!D139</f>
        <v>38637.840000000004</v>
      </c>
      <c r="E139" s="235">
        <f>+Cs!E139+Fin!E139+Rat!E139+MM!E139+Lib!E139+Pry!E139+Hal!E139+Cem!E139+Par!E139+EDv!F115+Str!E139+Ele!E139+Wat!E139+San!E139+Ref!E139+Mayor!E139+CFO!E139+MB!E139+Infra!E139</f>
        <v>39000</v>
      </c>
      <c r="F139" s="235">
        <f>+Cs!F139+Fin!F139+Rat!F139+MM!F139+Lib!F139+Pry!F139+Hal!F139+Cem!F139+Par!F139+EDv!G115+Str!F139+Ele!F139+Wat!F139+San!F139+Ref!F139+Mayor!F139+CFO!F139+MB!F139+Infra!F139</f>
        <v>40800</v>
      </c>
      <c r="G139" s="235">
        <f>+Cs!G139+Fin!G139+Rat!G139+MM!G139+Lib!G139+Pry!G139+Hal!G139+Cem!G139+Par!G139+EDv!H115+Str!G139+Ele!G139+Wat!G139+San!G139+Ref!G139+Mayor!G139+CFO!G139+MB!G139+Infra!G139</f>
        <v>42700</v>
      </c>
      <c r="H139" s="66" t="s">
        <v>2722</v>
      </c>
      <c r="I139" s="66"/>
    </row>
    <row r="140" spans="1:9" x14ac:dyDescent="0.35">
      <c r="A140" s="66" t="s">
        <v>2660</v>
      </c>
      <c r="B140" s="89">
        <f>+Cs!B140+Fin!B140+Rat!B140+MM!B140+Lib!B140+Pry!B140+Hal!B140+Cem!B140+Par!B140+EDv!C115+Str!B140+Ele!B140+Wat!B140+San!B140+Ref!B140+Mayor!B140+CFO!B140+MB!B140+Infra!B140</f>
        <v>40000</v>
      </c>
      <c r="C140" s="89">
        <f>+Cs!C140+Fin!C140+Rat!C140+MM!C140+Lib!C140+Pry!C140+Hal!C140+Cem!C140+Par!C140+EDv!D115+Str!C140+Ele!C140+Wat!C140+San!C140+Ref!C140+Mayor!C140+CFO!C140+MB!C140+Infra!C140</f>
        <v>40000</v>
      </c>
      <c r="D140" s="89">
        <f>+Cs!D140+Fin!D140+Rat!D140+MM!D140+Lib!D140+Pry!D140+Hal!D140+Cem!D140+Par!D140+EDv!E115+Str!D140+Ele!D140+Wat!D140+San!D140+Ref!D140+Mayor!D140+CFO!D140+MB!D140+Infra!D140</f>
        <v>11516.67</v>
      </c>
      <c r="E140" s="235">
        <f>+Cs!E140+Fin!E140+Rat!E140+MM!E140+Lib!E140+Pry!E140+Hal!E140+Cem!E140+Par!E140+EDv!F115+Str!E140+Ele!E140+Wat!E140+San!E140+Ref!E140+Mayor!E140+CFO!E140+MB!E140+Infra!E140</f>
        <v>12000</v>
      </c>
      <c r="F140" s="235">
        <f>+Cs!F140+Fin!F140+Rat!F140+MM!F140+Lib!F140+Pry!F140+Hal!F140+Cem!F140+Par!F140+EDv!G115+Str!F140+Ele!F140+Wat!F140+San!F140+Ref!F140+Mayor!F140+CFO!F140+MB!F140+Infra!F140</f>
        <v>12000</v>
      </c>
      <c r="G140" s="235">
        <f>+Cs!G140+Fin!G140+Rat!G140+MM!G140+Lib!G140+Pry!G140+Hal!G140+Cem!G140+Par!G140+EDv!H115+Str!G140+Ele!G140+Wat!G140+San!G140+Ref!G140+Mayor!G140+CFO!G140+MB!G140+Infra!G140</f>
        <v>12000</v>
      </c>
      <c r="H140" s="66" t="s">
        <v>3491</v>
      </c>
      <c r="I140" s="66"/>
    </row>
    <row r="141" spans="1:9" x14ac:dyDescent="0.35">
      <c r="A141" s="66" t="s">
        <v>2886</v>
      </c>
      <c r="B141" s="89">
        <f>+Cs!B141+Fin!B141+Rat!B141+MM!B141+Lib!B141+Pry!B141+Hal!B141+Cem!B141+Par!B141+EDv!C116+Str!B141+Ele!B141+Wat!B141+San!B141+Ref!B141+Mayor!B141+CFO!B141+MB!B141+Infra!B141</f>
        <v>0</v>
      </c>
      <c r="C141" s="89">
        <f>+Cs!C141+Fin!C141+Rat!C141+MM!C141+Lib!C141+Pry!C141+Hal!C141+Cem!C141+Par!C141+EDv!D116+Str!C141+Ele!C141+Wat!C141+San!C141+Ref!C141+Mayor!C141+CFO!C141+MB!C141+Infra!C141</f>
        <v>0</v>
      </c>
      <c r="D141" s="89">
        <f>+Cs!D141+Fin!D141+Rat!D141+MM!D141+Lib!D141+Pry!D141+Hal!D141+Cem!D141+Par!D141+EDv!E116+Str!D141+Ele!D141+Wat!D141+San!D141+Ref!D141+Mayor!D141+CFO!D141+MB!D141+Infra!D141</f>
        <v>0</v>
      </c>
      <c r="E141" s="235">
        <f>+Cs!E141+Fin!E141+Rat!E141+MM!E141+Lib!E141+Pry!E141+Hal!E141+Cem!E141+Par!E141+EDv!F116+Str!E141+Ele!E141+Wat!E141+San!E141+Ref!E141+Mayor!E141+CFO!E141+MB!E141+Infra!E141</f>
        <v>0</v>
      </c>
      <c r="F141" s="235">
        <f>+Cs!F141+Fin!F141+Rat!F141+MM!F141+Lib!F141+Pry!F141+Hal!F141+Cem!F141+Par!F141+EDv!G116+Str!F141+Ele!F141+Wat!F141+San!F141+Ref!F141+Mayor!F141+CFO!F141+MB!F141+Infra!F141</f>
        <v>0</v>
      </c>
      <c r="G141" s="235">
        <f>+Cs!G141+Fin!G141+Rat!G141+MM!G141+Lib!G141+Pry!G141+Hal!G141+Cem!G141+Par!G141+EDv!H116+Str!G141+Ele!G141+Wat!G141+San!G141+Ref!G141+Mayor!G141+CFO!G141+MB!G141+Infra!G141</f>
        <v>0</v>
      </c>
      <c r="H141" s="66" t="s">
        <v>2722</v>
      </c>
      <c r="I141" s="66"/>
    </row>
    <row r="142" spans="1:9" x14ac:dyDescent="0.35">
      <c r="A142" s="66" t="s">
        <v>2885</v>
      </c>
      <c r="B142" s="89">
        <f>+Cs!B142+Fin!B142+Rat!B142+MM!B142+Lib!B142+Pry!B142+Hal!B142+Cem!B142+Par!B142+EDv!C117+Str!B142+Ele!B142+Wat!B142+San!B142+Ref!B142+Mayor!B142+CFO!B142+MB!B142+Infra!B142</f>
        <v>3000</v>
      </c>
      <c r="C142" s="89">
        <f>+Cs!C142+Fin!C142+Rat!C142+MM!C142+Lib!C142+Pry!C142+Hal!C142+Cem!C142+Par!C142+EDv!D117+Str!C142+Ele!C142+Wat!C142+San!C142+Ref!C142+Mayor!C142+CFO!C142+MB!C142+Infra!C142</f>
        <v>3000</v>
      </c>
      <c r="D142" s="89">
        <f>+Cs!D142+Fin!D142+Rat!D142+MM!D142+Lib!D142+Pry!D142+Hal!D142+Cem!D142+Par!D142+EDv!E117+Str!D142+Ele!D142+Wat!D142+San!D142+Ref!D142+Mayor!D142+CFO!D142+MB!D142+Infra!D142</f>
        <v>0</v>
      </c>
      <c r="E142" s="235">
        <f>+Cs!E142+Fin!E142+Rat!E142+MM!E142+Lib!E142+Pry!E142+Hal!E142+Cem!E142+Par!E142+EDv!F117+Str!E142+Ele!E142+Wat!E142+San!E142+Ref!E142+Mayor!E142+CFO!E142+MB!E142+Infra!E142</f>
        <v>36000</v>
      </c>
      <c r="F142" s="235">
        <f>+Cs!F142+Fin!F142+Rat!F142+MM!F142+Lib!F142+Pry!F142+Hal!F142+Cem!F142+Par!F142+EDv!G117+Str!F142+Ele!F142+Wat!F142+San!F142+Ref!F142+Mayor!F142+CFO!F142+MB!F142+Infra!F142</f>
        <v>37600</v>
      </c>
      <c r="G142" s="235">
        <f>+Cs!G142+Fin!G142+Rat!G142+MM!G142+Lib!G142+Pry!G142+Hal!G142+Cem!G142+Par!G142+EDv!H117+Str!G142+Ele!G142+Wat!G142+San!G142+Ref!G142+Mayor!G142+CFO!G142+MB!G142+Infra!G142</f>
        <v>39400</v>
      </c>
      <c r="H142" s="66" t="s">
        <v>2722</v>
      </c>
      <c r="I142" s="66"/>
    </row>
    <row r="143" spans="1:9" x14ac:dyDescent="0.35">
      <c r="A143" s="66" t="s">
        <v>2636</v>
      </c>
      <c r="B143" s="89">
        <f>+Cs!B143+Fin!B143+Rat!B143+MM!B143+Lib!B143+Pry!B143+Hal!B143+Cem!B143+Par!B143+EDv!C118+Str!B143+Ele!B143+Wat!B143+San!B143+Ref!B143+Mayor!B143+CFO!B143+MB!B143+Infra!B143</f>
        <v>0</v>
      </c>
      <c r="C143" s="89">
        <f>+Cs!C143+Fin!C143+Rat!C143+MM!C143+Lib!C143+Pry!C143+Hal!C143+Cem!C143+Par!C143+EDv!D118+Str!C143+Ele!C143+Wat!C143+San!C143+Ref!C143+Mayor!C143+CFO!C143+MB!C143+Infra!C143</f>
        <v>0</v>
      </c>
      <c r="D143" s="89">
        <f>+Cs!D143+Fin!D143+Rat!D143+MM!D143+Lib!D143+Pry!D143+Hal!D143+Cem!D143+Par!D143+EDv!E118+Str!D143+Ele!D143+Wat!D143+San!D143+Ref!D143+Mayor!D143+CFO!D143+MB!D143+Infra!D143</f>
        <v>0</v>
      </c>
      <c r="E143" s="235">
        <f>+Cs!E143+Fin!E143+Rat!E143+MM!E143+Lib!E143+Pry!E143+Hal!E143+Cem!E143+Par!E143+EDv!F118+Str!E143+Ele!E143+Wat!E143+San!E143+Ref!E143+Mayor!E143+CFO!E143+MB!E143+Infra!E143</f>
        <v>0</v>
      </c>
      <c r="F143" s="235">
        <f>+Cs!F143+Fin!F143+Rat!F143+MM!F143+Lib!F143+Pry!F143+Hal!F143+Cem!F143+Par!F143+EDv!G118+Str!F143+Ele!F143+Wat!F143+San!F143+Ref!F143+Mayor!F143+CFO!F143+MB!F143+Infra!F143</f>
        <v>0</v>
      </c>
      <c r="G143" s="235">
        <f>+Cs!G143+Fin!G143+Rat!G143+MM!G143+Lib!G143+Pry!G143+Hal!G143+Cem!G143+Par!G143+EDv!H118+Str!G143+Ele!G143+Wat!G143+San!G143+Ref!G143+Mayor!G143+CFO!G143+MB!G143+Infra!G143</f>
        <v>0</v>
      </c>
      <c r="H143" s="66" t="s">
        <v>2722</v>
      </c>
      <c r="I143" s="66"/>
    </row>
    <row r="144" spans="1:9" x14ac:dyDescent="0.35">
      <c r="A144" s="66" t="s">
        <v>3512</v>
      </c>
      <c r="B144" s="89">
        <f>+Cs!B144+Fin!B144+Rat!B144+MM!B144+Lib!B144+Pry!B144+Hal!B144+Cem!B144+Par!B144+EDv!C119+Str!B144+Ele!B144+Wat!B144+San!B144+Ref!B144+Mayor!B144+CFO!B144+MB!B144+Infra!B144</f>
        <v>472000</v>
      </c>
      <c r="C144" s="89">
        <f>+Cs!C144+Fin!C144+Rat!C144+MM!C144+Lib!C144+Pry!C144+Hal!C144+Cem!C144+Par!C144+EDv!D119+Str!C144+Ele!C144+Wat!C144+San!C144+Ref!C144+Mayor!C144+CFO!C144+MB!C144+Infra!C144</f>
        <v>472000</v>
      </c>
      <c r="D144" s="89">
        <f>+Cs!D144+Fin!D144+Rat!D144+MM!D144+Lib!D144+Pry!D144+Hal!D144+Cem!D144+Par!D144+EDv!E119+Str!D144+Ele!D144+Wat!D144+San!D144+Ref!D144+Mayor!D144+CFO!D144+MB!D144+Infra!D144</f>
        <v>469833.54</v>
      </c>
      <c r="E144" s="235">
        <f>+Cs!E144+Fin!E144+Rat!E144+MM!E144+Lib!E144+Pry!E144+Hal!E144+Cem!E144+Par!E144+EDv!F119+Str!E144+Ele!E144+Wat!E144+San!E144+Ref!E144+Mayor!E144+CFO!E144+MB!E144+Infra!E144</f>
        <v>492000</v>
      </c>
      <c r="F144" s="235">
        <f>+Cs!F144+Fin!F144+Rat!F144+MM!F144+Lib!F144+Pry!F144+Hal!F144+Cem!F144+Par!F144+EDv!G119+Str!F144+Ele!F144+Wat!F144+San!F144+Ref!F144+Mayor!F144+CFO!F144+MB!F144+Infra!F144</f>
        <v>514600</v>
      </c>
      <c r="G144" s="235">
        <f>+Cs!G144+Fin!G144+Rat!G144+MM!G144+Lib!G144+Pry!G144+Hal!G144+Cem!G144+Par!G144+EDv!H119+Str!G144+Ele!G144+Wat!G144+San!G144+Ref!G144+Mayor!G144+CFO!G144+MB!G144+Infra!G144</f>
        <v>538300</v>
      </c>
      <c r="H144" s="66" t="s">
        <v>2723</v>
      </c>
      <c r="I144" s="66"/>
    </row>
    <row r="145" spans="1:9" x14ac:dyDescent="0.35">
      <c r="A145" s="66" t="s">
        <v>2874</v>
      </c>
      <c r="B145" s="89">
        <f>+Cs!B145+Fin!B145+Rat!B145+MM!B145+Lib!B145+Pry!B145+Hal!B145+Cem!B145+Par!B145+EDv!C120+Str!B145+Ele!B145+Wat!B145+San!B145+Ref!B145+Mayor!B145+CFO!B145+MB!B145+Infra!B145</f>
        <v>24000</v>
      </c>
      <c r="C145" s="89">
        <f>+Cs!C145+Fin!C145+Rat!C145+MM!C145+Lib!C145+Pry!C145+Hal!C145+Cem!C145+Par!C145+EDv!D120+Str!C145+Ele!C145+Wat!C145+San!C145+Ref!C145+Mayor!C145+CFO!C145+MB!C145+Infra!C145</f>
        <v>24000</v>
      </c>
      <c r="D145" s="89">
        <f>+Cs!D145+Fin!D145+Rat!D145+MM!D145+Lib!D145+Pry!D145+Hal!D145+Cem!D145+Par!D145+EDv!E120+Str!D145+Ele!D145+Wat!D145+San!D145+Ref!D145+Mayor!D145+CFO!D145+MB!D145+Infra!D145</f>
        <v>19874.95</v>
      </c>
      <c r="E145" s="235">
        <f>+Cs!E145+Fin!E145+Rat!E145+MM!E145+Lib!E145+Pry!E145+Hal!E145+Cem!E145+Par!E145+EDv!F120+Str!E145+Ele!E145+Wat!E145+San!E145+Ref!E145+Mayor!E145+CFO!E145+MB!E145+Infra!E145</f>
        <v>24000</v>
      </c>
      <c r="F145" s="235">
        <f>+Cs!F145+Fin!F145+Rat!F145+MM!F145+Lib!F145+Pry!F145+Hal!F145+Cem!F145+Par!F145+EDv!G120+Str!F145+Ele!F145+Wat!F145+San!F145+Ref!F145+Mayor!F145+CFO!F145+MB!F145+Infra!F145</f>
        <v>25300</v>
      </c>
      <c r="G145" s="235">
        <f>+Cs!G145+Fin!G145+Rat!G145+MM!G145+Lib!G145+Pry!G145+Hal!G145+Cem!G145+Par!G145+EDv!H120+Str!G145+Ele!G145+Wat!G145+San!G145+Ref!G145+Mayor!G145+CFO!G145+MB!G145+Infra!G145</f>
        <v>26700</v>
      </c>
      <c r="H145" s="66" t="s">
        <v>2723</v>
      </c>
      <c r="I145" s="66"/>
    </row>
    <row r="146" spans="1:9" x14ac:dyDescent="0.35">
      <c r="A146" s="66" t="s">
        <v>2875</v>
      </c>
      <c r="B146" s="89">
        <f>+Cs!B146+Fin!B146+Rat!B146+MM!B146+Lib!B146+Pry!B146+Hal!B146+Cem!B146+Par!B146+EDv!C121+Str!B146+Ele!B146+Wat!B146+San!B146+Ref!B146+Mayor!B146+CFO!B146+MB!B146+Infra!B146</f>
        <v>260000</v>
      </c>
      <c r="C146" s="89">
        <f>+Cs!C146+Fin!C146+Rat!C146+MM!C146+Lib!C146+Pry!C146+Hal!C146+Cem!C146+Par!C146+EDv!D121+Str!C146+Ele!C146+Wat!C146+San!C146+Ref!C146+Mayor!C146+CFO!C146+MB!C146+Infra!C146</f>
        <v>260000</v>
      </c>
      <c r="D146" s="89">
        <f>+Cs!D146+Fin!D146+Rat!D146+MM!D146+Lib!D146+Pry!D146+Hal!D146+Cem!D146+Par!D146+EDv!E121+Str!D146+Ele!D146+Wat!D146+San!D146+Ref!D146+Mayor!D146+CFO!D146+MB!D146+Infra!D146</f>
        <v>287023.55</v>
      </c>
      <c r="E146" s="235">
        <f>+Cs!E146+Fin!E146+Rat!E146+MM!E146+Lib!E146+Pry!E146+Hal!E146+Cem!E146+Par!E146+EDv!F121+Str!E146+Ele!E146+Wat!E146+San!E146+Ref!E146+Mayor!E146+CFO!E146+MB!E146+Infra!E146</f>
        <v>290000</v>
      </c>
      <c r="F146" s="235">
        <f>+Cs!F146+Fin!F146+Rat!F146+MM!F146+Lib!F146+Pry!F146+Hal!F146+Cem!F146+Par!F146+EDv!G121+Str!F146+Ele!F146+Wat!F146+San!F146+Ref!F146+Mayor!F146+CFO!F146+MB!F146+Infra!F146</f>
        <v>303400</v>
      </c>
      <c r="G146" s="235">
        <f>+Cs!G146+Fin!G146+Rat!G146+MM!G146+Lib!G146+Pry!G146+Hal!G146+Cem!G146+Par!G146+EDv!H121+Str!G146+Ele!G146+Wat!G146+San!G146+Ref!G146+Mayor!G146+CFO!G146+MB!G146+Infra!G146</f>
        <v>317400</v>
      </c>
      <c r="H146" s="66" t="s">
        <v>2723</v>
      </c>
      <c r="I146" s="66"/>
    </row>
    <row r="147" spans="1:9" x14ac:dyDescent="0.35">
      <c r="A147" s="66" t="s">
        <v>2876</v>
      </c>
      <c r="B147" s="89">
        <f>+Cs!B147+Fin!B147+Rat!B147+MM!B147+Lib!B147+Pry!B147+Hal!B147+Cem!B147+Par!B147+EDv!C122+Str!B147+Ele!B147+Wat!B147+San!B147+Ref!B147+Mayor!B147+CFO!B147+MB!B147+Infra!B147</f>
        <v>450000</v>
      </c>
      <c r="C147" s="89">
        <f>+Cs!C147+Fin!C147+Rat!C147+MM!C147+Lib!C147+Pry!C147+Hal!C147+Cem!C147+Par!C147+EDv!D122+Str!C147+Ele!C147+Wat!C147+San!C147+Ref!C147+Mayor!C147+CFO!C147+MB!C147+Infra!C147</f>
        <v>450000</v>
      </c>
      <c r="D147" s="89">
        <f>+Cs!D147+Fin!D147+Rat!D147+MM!D147+Lib!D147+Pry!D147+Hal!D147+Cem!D147+Par!D147+EDv!E122+Str!D147+Ele!D147+Wat!D147+San!D147+Ref!D147+Mayor!D147+CFO!D147+MB!D147+Infra!D147</f>
        <v>498541.59</v>
      </c>
      <c r="E147" s="235">
        <f>+Cs!E147+Fin!E147+Rat!E147+MM!E147+Lib!E147+Pry!E147+Hal!E147+Cem!E147+Par!E147+EDv!F122+Str!E147+Ele!E147+Wat!E147+San!E147+Ref!E147+Mayor!E147+CFO!E147+MB!E147+Infra!E147</f>
        <v>500000</v>
      </c>
      <c r="F147" s="235">
        <f>+Cs!F147+Fin!F147+Rat!F147+MM!F147+Lib!F147+Pry!F147+Hal!F147+Cem!F147+Par!F147+EDv!G122+Str!F147+Ele!F147+Wat!F147+San!F147+Ref!F147+Mayor!F147+CFO!F147+MB!F147+Infra!F147</f>
        <v>523000</v>
      </c>
      <c r="G147" s="235">
        <f>+Cs!G147+Fin!G147+Rat!G147+MM!G147+Lib!G147+Pry!G147+Hal!G147+Cem!G147+Par!G147+EDv!H122+Str!G147+Ele!G147+Wat!G147+San!G147+Ref!G147+Mayor!G147+CFO!G147+MB!G147+Infra!G147</f>
        <v>547100</v>
      </c>
      <c r="H147" s="66" t="s">
        <v>2723</v>
      </c>
      <c r="I147" s="66"/>
    </row>
    <row r="148" spans="1:9" x14ac:dyDescent="0.35">
      <c r="A148" s="66" t="s">
        <v>2877</v>
      </c>
      <c r="B148" s="89">
        <f>+Cs!B148+Fin!B148+Rat!B148+MM!B148+Lib!B148+Pry!B148+Hal!B148+Cem!B148+Par!B148+EDv!C123+Str!B148+Ele!B148+Wat!B148+San!B148+Ref!B148+Mayor!B148+CFO!B148+MB!B148+Infra!B148</f>
        <v>1600000</v>
      </c>
      <c r="C148" s="89">
        <f>+Cs!C148+Fin!C148+Rat!C148+MM!C148+Lib!C148+Pry!C148+Hal!C148+Cem!C148+Par!C148+EDv!D123+Str!C148+Ele!C148+Wat!C148+San!C148+Ref!C148+Mayor!C148+CFO!C148+MB!C148+Infra!C148</f>
        <v>1600000</v>
      </c>
      <c r="D148" s="89">
        <f>+Cs!D148+Fin!D148+Rat!D148+MM!D148+Lib!D148+Pry!D148+Hal!D148+Cem!D148+Par!D148+EDv!E123+Str!D148+Ele!D148+Wat!D148+San!D148+Ref!D148+Mayor!D148+CFO!D148+MB!D148+Infra!D148</f>
        <v>1600000</v>
      </c>
      <c r="E148" s="235">
        <f>+Cs!E148+Fin!E148+Rat!E148+MM!E148+Lib!E148+Pry!E148+Hal!E148+Cem!E148+Par!E148+EDv!F123+Str!E148+Ele!E148+Wat!E148+San!E148+Ref!E148+Mayor!E148+CFO!E148+MB!E148+Infra!E148</f>
        <v>1600000</v>
      </c>
      <c r="F148" s="235">
        <f>+Cs!F148+Fin!F148+Rat!F148+MM!F148+Lib!F148+Pry!F148+Hal!F148+Cem!F148+Par!F148+EDv!G123+Str!F148+Ele!F148+Wat!F148+San!F148+Ref!F148+Mayor!F148+CFO!F148+MB!F148+Infra!F148</f>
        <v>1673600</v>
      </c>
      <c r="G148" s="235">
        <f>+Cs!G148+Fin!G148+Rat!G148+MM!G148+Lib!G148+Pry!G148+Hal!G148+Cem!G148+Par!G148+EDv!H123+Str!G148+Ele!G148+Wat!G148+San!G148+Ref!G148+Mayor!G148+CFO!G148+MB!G148+Infra!G148</f>
        <v>1750600</v>
      </c>
      <c r="H148" s="66" t="s">
        <v>2722</v>
      </c>
      <c r="I148" s="66"/>
    </row>
    <row r="149" spans="1:9" x14ac:dyDescent="0.35">
      <c r="A149" s="66" t="s">
        <v>2884</v>
      </c>
      <c r="B149" s="89">
        <f>+Cs!B149+Fin!B149+Rat!B149+MM!B149+Lib!B149+Pry!B149+Hal!B149+Cem!B149+Par!B149+EDv!C124+Str!B149+Ele!B149+Wat!B149+San!B149+Ref!B149+Mayor!B149+CFO!B149+MB!B149+Infra!B149</f>
        <v>9000</v>
      </c>
      <c r="C149" s="89">
        <f>+Cs!C149+Fin!C149+Rat!C149+MM!C149+Lib!C149+Pry!C149+Hal!C149+Cem!C149+Par!C149+EDv!D124+Str!C149+Ele!C149+Wat!C149+San!C149+Ref!C149+Mayor!C149+CFO!C149+MB!C149+Infra!C149</f>
        <v>9000</v>
      </c>
      <c r="D149" s="89">
        <f>+Cs!D149+Fin!D149+Rat!D149+MM!D149+Lib!D149+Pry!D149+Hal!D149+Cem!D149+Par!D149+EDv!E124+Str!D149+Ele!D149+Wat!D149+San!D149+Ref!D149+Mayor!D149+CFO!D149+MB!D149+Infra!D149</f>
        <v>9000</v>
      </c>
      <c r="E149" s="235">
        <f>+Cs!E149+Fin!E149+Rat!E149+MM!E149+Lib!E149+Pry!E149+Hal!E149+Cem!E149+Par!E149+EDv!F124+Str!E149+Ele!E149+Wat!E149+San!E149+Ref!E149+Mayor!E149+CFO!E149+MB!E149+Infra!E149</f>
        <v>12000</v>
      </c>
      <c r="F149" s="235">
        <f>+Cs!F149+Fin!F149+Rat!F149+MM!F149+Lib!F149+Pry!F149+Hal!F149+Cem!F149+Par!F149+EDv!G124+Str!F149+Ele!F149+Wat!F149+San!F149+Ref!F149+Mayor!F149+CFO!F149+MB!F149+Infra!F149</f>
        <v>12600</v>
      </c>
      <c r="G149" s="235">
        <f>+Cs!G149+Fin!G149+Rat!G149+MM!G149+Lib!G149+Pry!G149+Hal!G149+Cem!G149+Par!G149+EDv!H124+Str!G149+Ele!G149+Wat!G149+San!G149+Ref!G149+Mayor!G149+CFO!G149+MB!G149+Infra!G149</f>
        <v>13200</v>
      </c>
      <c r="H149" s="66" t="s">
        <v>2722</v>
      </c>
      <c r="I149" s="66"/>
    </row>
    <row r="150" spans="1:9" x14ac:dyDescent="0.35">
      <c r="A150" s="66" t="s">
        <v>2847</v>
      </c>
      <c r="B150" s="89">
        <f>+Cs!B150+Fin!B150+Rat!B150+MM!B150+Lib!B150+Pry!B150+Hal!B150+Cem!B150+Par!B150+EDv!C125+Str!B150+Ele!B150+Wat!B150+San!B150+Ref!B150+Mayor!B150+CFO!B150+MB!B150+Infra!B150</f>
        <v>0</v>
      </c>
      <c r="C150" s="89">
        <f>+Cs!C150+Fin!C150+Rat!C150+MM!C150+Lib!C150+Pry!C150+Hal!C150+Cem!C150+Par!C150+EDv!D125+Str!C150+Ele!C150+Wat!C150+San!C150+Ref!C150+Mayor!C150+CFO!C150+MB!C150+Infra!C150</f>
        <v>0</v>
      </c>
      <c r="D150" s="89">
        <f>+Cs!D150+Fin!D150+Rat!D150+MM!D150+Lib!D150+Pry!D150+Hal!D150+Cem!D150+Par!D150+EDv!E125+Str!D150+Ele!D150+Wat!D150+San!D150+Ref!D150+Mayor!D150+CFO!D150+MB!D150+Infra!D150</f>
        <v>0</v>
      </c>
      <c r="E150" s="235">
        <f>+Cs!E150+Fin!E150+Rat!E150+MM!E150+Lib!E150+Pry!E150+Hal!E150+Cem!E150+Par!E150+EDv!F125+Str!E150+Ele!E150+Wat!E150+San!E150+Ref!E150+Mayor!E150+CFO!E150+MB!E150+Infra!E150</f>
        <v>0</v>
      </c>
      <c r="F150" s="235">
        <f>+Cs!F150+Fin!F150+Rat!F150+MM!F150+Lib!F150+Pry!F150+Hal!F150+Cem!F150+Par!F150+EDv!G125+Str!F150+Ele!F150+Wat!F150+San!F150+Ref!F150+Mayor!F150+CFO!F150+MB!F150+Infra!F150</f>
        <v>0</v>
      </c>
      <c r="G150" s="235">
        <f>+Cs!G150+Fin!G150+Rat!G150+MM!G150+Lib!G150+Pry!G150+Hal!G150+Cem!G150+Par!G150+EDv!H125+Str!G150+Ele!G150+Wat!G150+San!G150+Ref!G150+Mayor!G150+CFO!G150+MB!G150+Infra!G150</f>
        <v>0</v>
      </c>
      <c r="H150" s="66" t="s">
        <v>3493</v>
      </c>
      <c r="I150" s="66"/>
    </row>
    <row r="151" spans="1:9" x14ac:dyDescent="0.35">
      <c r="A151" s="66" t="s">
        <v>3032</v>
      </c>
      <c r="B151" s="89">
        <f>+Cs!B151+Fin!B151+Rat!B151+MM!B151+Lib!B151+Pry!B151+Hal!B151+Cem!B151+Par!B151+EDv!C126+Str!B151+Ele!B151+Wat!B151+San!B151+Ref!B151+Mayor!B151+CFO!B151+MB!B151+Infra!B151</f>
        <v>50000</v>
      </c>
      <c r="C151" s="89">
        <f>+Cs!C151+Fin!C151+Rat!C151+MM!C151+Lib!C151+Pry!C151+Hal!C151+Cem!C151+Par!C151+EDv!D126+Str!C151+Ele!C151+Wat!C151+San!C151+Ref!C151+Mayor!C151+CFO!C151+MB!C151+Infra!C151</f>
        <v>45000</v>
      </c>
      <c r="D151" s="89">
        <f>+Cs!D151+Fin!D151+Rat!D151+MM!D151+Lib!D151+Pry!D151+Hal!D151+Cem!D151+Par!D151+EDv!E126+Str!D151+Ele!D151+Wat!D151+San!D151+Ref!D151+Mayor!D151+CFO!D151+MB!D151+Infra!D151</f>
        <v>79816.28</v>
      </c>
      <c r="E151" s="235">
        <f>+Cs!E151+Fin!E151+Rat!E151+MM!E151+Lib!E151+Pry!E151+Hal!E151+Cem!E151+Par!E151+EDv!F126+Str!E151+Ele!E151+Wat!E151+San!E151+Ref!E151+Mayor!E151+CFO!E151+MB!E151+Infra!E151</f>
        <v>85000</v>
      </c>
      <c r="F151" s="235">
        <f>+Cs!F151+Fin!F151+Rat!F151+MM!F151+Lib!F151+Pry!F151+Hal!F151+Cem!F151+Par!F151+EDv!G126+Str!F151+Ele!F151+Wat!F151+San!F151+Ref!F151+Mayor!F151+CFO!F151+MB!F151+Infra!F151</f>
        <v>88900</v>
      </c>
      <c r="G151" s="235">
        <f>+Cs!G151+Fin!G151+Rat!G151+MM!G151+Lib!G151+Pry!G151+Hal!G151+Cem!G151+Par!G151+EDv!H126+Str!G151+Ele!G151+Wat!G151+San!G151+Ref!G151+Mayor!G151+CFO!G151+MB!G151+Infra!G151</f>
        <v>92900</v>
      </c>
      <c r="H151" s="66" t="s">
        <v>2723</v>
      </c>
      <c r="I151" s="66"/>
    </row>
    <row r="152" spans="1:9" x14ac:dyDescent="0.35">
      <c r="A152" s="66" t="s">
        <v>2919</v>
      </c>
      <c r="B152" s="89">
        <f>+Cs!B152+Fin!B152+Rat!B152+MM!B152+Lib!B152+Pry!B152+Hal!B152+Cem!B152+Par!B152+EDv!C127+Str!B152+Ele!B152+Wat!B152+San!B152+Ref!B152+Mayor!B152+CFO!B152+MB!B152+Infra!B152</f>
        <v>655000</v>
      </c>
      <c r="C152" s="89">
        <f>+Cs!C152+Fin!C152+Rat!C152+MM!C152+Lib!C152+Pry!C152+Hal!C152+Cem!C152+Par!C152+EDv!D127+Str!C152+Ele!C152+Wat!C152+San!C152+Ref!C152+Mayor!C152+CFO!C152+MB!C152+Infra!C152</f>
        <v>655000</v>
      </c>
      <c r="D152" s="89">
        <f>+Cs!D152+Fin!D152+Rat!D152+MM!D152+Lib!D152+Pry!D152+Hal!D152+Cem!D152+Par!D152+EDv!E127+Str!D152+Ele!D152+Wat!D152+San!D152+Ref!D152+Mayor!D152+CFO!D152+MB!D152+Infra!D152</f>
        <v>619512.6</v>
      </c>
      <c r="E152" s="235">
        <f>+Cs!E152+Fin!E152+Rat!E152+MM!E152+Lib!E152+Pry!E152+Hal!E152+Cem!E152+Par!E152+EDv!F127+Str!E152+Ele!E152+Wat!E152+San!E152+Ref!E152+Mayor!E152+CFO!E152+MB!E152+Infra!E152</f>
        <v>655000</v>
      </c>
      <c r="F152" s="235">
        <f>+Cs!F152+Fin!F152+Rat!F152+MM!F152+Lib!F152+Pry!F152+Hal!F152+Cem!F152+Par!F152+EDv!G127+Str!F152+Ele!F152+Wat!F152+San!F152+Ref!F152+Mayor!F152+CFO!F152+MB!F152+Infra!F152</f>
        <v>780000</v>
      </c>
      <c r="G152" s="235">
        <f>+Cs!G152+Fin!G152+Rat!G152+MM!G152+Lib!G152+Pry!G152+Hal!G152+Cem!G152+Par!G152+EDv!H127+Str!G152+Ele!G152+Wat!G152+San!G152+Ref!G152+Mayor!G152+CFO!G152+MB!G152+Infra!G152</f>
        <v>822200</v>
      </c>
      <c r="H152" s="66" t="s">
        <v>2723</v>
      </c>
      <c r="I152" s="66"/>
    </row>
    <row r="153" spans="1:9" x14ac:dyDescent="0.35">
      <c r="A153" s="66" t="s">
        <v>3486</v>
      </c>
      <c r="B153" s="89">
        <f>+Cs!B153+Fin!B153+Rat!B153+MM!B153+Lib!B153+Pry!B153+Hal!B153+Cem!B153+Par!B153+EDv!C128+Str!B153+Ele!B153+Wat!B153+San!B153+Ref!B153+Mayor!B153+CFO!B153+MB!B153+Infra!B153</f>
        <v>665000</v>
      </c>
      <c r="C153" s="89">
        <f>+Cs!C153+Fin!C153+Rat!C153+MM!C153+Lib!C153+Pry!C153+Hal!C153+Cem!C153+Par!C153+EDv!D128+Str!C153+Ele!C153+Wat!C153+San!C153+Ref!C153+Mayor!C153+CFO!C153+MB!C153+Infra!C153</f>
        <v>665000</v>
      </c>
      <c r="D153" s="89">
        <f>+Cs!D153+Fin!D153+Rat!D153+MM!D153+Lib!D153+Pry!D153+Hal!D153+Cem!D153+Par!D153+EDv!E128+Str!D153+Ele!D153+Wat!D153+San!D153+Ref!D153+Mayor!D153+CFO!D153+MB!D153+Infra!D153</f>
        <v>0</v>
      </c>
      <c r="E153" s="235">
        <f>+Cs!E153+Fin!E153+Rat!E153+MM!E153+Lib!E153+Pry!E153+Hal!E153+Cem!E153+Par!E153+EDv!F128+Str!E153+Ele!E153+Wat!E153+San!E153+Ref!E153+Mayor!E153+CFO!E153+MB!E153+Infra!E153</f>
        <v>420000</v>
      </c>
      <c r="F153" s="235">
        <f>+Cs!F153+Fin!F153+Rat!F153+MM!F153+Lib!F153+Pry!F153+Hal!F153+Cem!F153+Par!F153+EDv!G128+Str!F153+Ele!F153+Wat!F153+San!F153+Ref!F153+Mayor!F153+CFO!F153+MB!F153+Infra!F153</f>
        <v>350000</v>
      </c>
      <c r="G153" s="235">
        <f>+Cs!G153+Fin!G153+Rat!G153+MM!G153+Lib!G153+Pry!G153+Hal!G153+Cem!G153+Par!G153+EDv!H128+Str!G153+Ele!G153+Wat!G153+San!G153+Ref!G153+Mayor!G153+CFO!G153+MB!G153+Infra!G153</f>
        <v>0</v>
      </c>
      <c r="H153" s="66" t="s">
        <v>2887</v>
      </c>
      <c r="I153" s="66" t="s">
        <v>3490</v>
      </c>
    </row>
    <row r="154" spans="1:9" x14ac:dyDescent="0.35">
      <c r="A154" s="66" t="s">
        <v>3487</v>
      </c>
      <c r="B154" s="89">
        <f>+Cs!B154+Fin!B154+Rat!B154+MM!B154+Lib!B154+Pry!B154+Hal!B154+Cem!B154+Par!B154+EDv!C129+Str!B154+Ele!B154+Wat!B154+San!B154+Ref!B154+Mayor!B154+CFO!B154+MB!B154+Infra!B154</f>
        <v>240000</v>
      </c>
      <c r="C154" s="89">
        <f>+Cs!C154+Fin!C154+Rat!C154+MM!C154+Lib!C154+Pry!C154+Hal!C154+Cem!C154+Par!C154+EDv!D129+Str!C154+Ele!C154+Wat!C154+San!C154+Ref!C154+Mayor!C154+CFO!C154+MB!C154+Infra!C154</f>
        <v>240000</v>
      </c>
      <c r="D154" s="89">
        <f>+Cs!D154+Fin!D154+Rat!D154+MM!D154+Lib!D154+Pry!D154+Hal!D154+Cem!D154+Par!D154+EDv!E129+Str!D154+Ele!D154+Wat!D154+San!D154+Ref!D154+Mayor!D154+CFO!D154+MB!D154+Infra!D154</f>
        <v>219941.5</v>
      </c>
      <c r="E154" s="235">
        <f>+Cs!E154+Fin!E154+Rat!E154+MM!E154+Lib!E154+Pry!E154+Hal!E154+Cem!E154+Par!E154+EDv!F129+Str!E154+Ele!E154+Wat!E154+San!E154+Ref!E154+Mayor!E154+CFO!E154+MB!E154+Infra!E154</f>
        <v>190000</v>
      </c>
      <c r="F154" s="235">
        <f>+Cs!F154+Fin!F154+Rat!F154+MM!F154+Lib!F154+Pry!F154+Hal!F154+Cem!F154+Par!F154+EDv!G129+Str!F154+Ele!F154+Wat!F154+San!F154+Ref!F154+Mayor!F154+CFO!F154+MB!F154+Infra!F154</f>
        <v>0</v>
      </c>
      <c r="G154" s="235">
        <f>+Cs!G154+Fin!G154+Rat!G154+MM!G154+Lib!G154+Pry!G154+Hal!G154+Cem!G154+Par!G154+EDv!H129+Str!G154+Ele!G154+Wat!G154+San!G154+Ref!G154+Mayor!G154+CFO!G154+MB!G154+Infra!G154</f>
        <v>0</v>
      </c>
      <c r="H154" s="66" t="s">
        <v>2887</v>
      </c>
      <c r="I154" s="66" t="s">
        <v>3490</v>
      </c>
    </row>
    <row r="155" spans="1:9" x14ac:dyDescent="0.35">
      <c r="A155" s="66" t="s">
        <v>3488</v>
      </c>
      <c r="B155" s="89">
        <f>+Cs!B155+Fin!B155+Rat!B155+MM!B155+Lib!B155+Pry!B155+Hal!B155+Cem!B155+Par!B155+EDv!C130+Str!B155+Ele!B155+Wat!B155+San!B155+Ref!B155+Mayor!B155+CFO!B155+MB!B155+Infra!B155</f>
        <v>116000</v>
      </c>
      <c r="C155" s="89">
        <f>+Cs!C155+Fin!C155+Rat!C155+MM!C155+Lib!C155+Pry!C155+Hal!C155+Cem!C155+Par!C155+EDv!D130+Str!C155+Ele!C155+Wat!C155+San!C155+Ref!C155+Mayor!C155+CFO!C155+MB!C155+Infra!C155</f>
        <v>116000</v>
      </c>
      <c r="D155" s="89">
        <f>+Cs!D155+Fin!D155+Rat!D155+MM!D155+Lib!D155+Pry!D155+Hal!D155+Cem!D155+Par!D155+EDv!E130+Str!D155+Ele!D155+Wat!D155+San!D155+Ref!D155+Mayor!D155+CFO!D155+MB!D155+Infra!D155</f>
        <v>105740.53</v>
      </c>
      <c r="E155" s="235">
        <f>+Cs!E155+Fin!E155+Rat!E155+MM!E155+Lib!E155+Pry!E155+Hal!E155+Cem!E155+Par!E155+EDv!F130+Str!E155+Ele!E155+Wat!E155+San!E155+Ref!E155+Mayor!E155+CFO!E155+MB!E155+Infra!E155</f>
        <v>76000</v>
      </c>
      <c r="F155" s="235">
        <f>+Cs!F155+Fin!F155+Rat!F155+MM!F155+Lib!F155+Pry!F155+Hal!F155+Cem!F155+Par!F155+EDv!G130+Str!F155+Ele!F155+Wat!F155+San!F155+Ref!F155+Mayor!F155+CFO!F155+MB!F155+Infra!F155</f>
        <v>63300</v>
      </c>
      <c r="G155" s="235">
        <f>+Cs!G155+Fin!G155+Rat!G155+MM!G155+Lib!G155+Pry!G155+Hal!G155+Cem!G155+Par!G155+EDv!H130+Str!G155+Ele!G155+Wat!G155+San!G155+Ref!G155+Mayor!G155+CFO!G155+MB!G155+Infra!G155</f>
        <v>66200</v>
      </c>
      <c r="H155" s="66" t="s">
        <v>2887</v>
      </c>
      <c r="I155" s="66" t="s">
        <v>3490</v>
      </c>
    </row>
    <row r="156" spans="1:9" x14ac:dyDescent="0.35">
      <c r="A156" s="66" t="s">
        <v>3489</v>
      </c>
      <c r="B156" s="89">
        <f>+Cs!B156+Fin!B156+Rat!B156+MM!B156+Lib!B156+Pry!B156+Hal!B156+Cem!B156+Par!B156+EDv!C131+Str!B156+Ele!B156+Wat!B156+San!B156+Ref!B156+Mayor!B156+CFO!B156+MB!B156+Infra!B156</f>
        <v>19000</v>
      </c>
      <c r="C156" s="89">
        <f>+Cs!C156+Fin!C156+Rat!C156+MM!C156+Lib!C156+Pry!C156+Hal!C156+Cem!C156+Par!C156+EDv!D131+Str!C156+Ele!C156+Wat!C156+San!C156+Ref!C156+Mayor!C156+CFO!C156+MB!C156+Infra!C156</f>
        <v>19000</v>
      </c>
      <c r="D156" s="89">
        <f>+Cs!D156+Fin!D156+Rat!D156+MM!D156+Lib!D156+Pry!D156+Hal!D156+Cem!D156+Par!D156+EDv!E131+Str!D156+Ele!D156+Wat!D156+San!D156+Ref!D156+Mayor!D156+CFO!D156+MB!D156+Infra!D156</f>
        <v>12816.94</v>
      </c>
      <c r="E156" s="235">
        <f>+Cs!E156+Fin!E156+Rat!E156+MM!E156+Lib!E156+Pry!E156+Hal!E156+Cem!E156+Par!E156+EDv!F131+Str!E156+Ele!E156+Wat!E156+San!E156+Ref!E156+Mayor!E156+CFO!E156+MB!E156+Infra!E156</f>
        <v>15000</v>
      </c>
      <c r="F156" s="235">
        <f>+Cs!F156+Fin!F156+Rat!F156+MM!F156+Lib!F156+Pry!F156+Hal!F156+Cem!F156+Par!F156+EDv!G131+Str!F156+Ele!F156+Wat!F156+San!F156+Ref!F156+Mayor!F156+CFO!F156+MB!F156+Infra!F156</f>
        <v>0</v>
      </c>
      <c r="G156" s="235">
        <f>+Cs!G156+Fin!G156+Rat!G156+MM!G156+Lib!G156+Pry!G156+Hal!G156+Cem!G156+Par!G156+EDv!H131+Str!G156+Ele!G156+Wat!G156+San!G156+Ref!G156+Mayor!G156+CFO!G156+MB!G156+Infra!G156</f>
        <v>0</v>
      </c>
      <c r="H156" s="66" t="s">
        <v>2887</v>
      </c>
      <c r="I156" s="66" t="s">
        <v>3490</v>
      </c>
    </row>
    <row r="157" spans="1:9" x14ac:dyDescent="0.35">
      <c r="A157" s="66" t="s">
        <v>3012</v>
      </c>
      <c r="B157" s="89">
        <f>+Cs!B157+Fin!B157+Rat!B157+MM!B157+Lib!B157+Pry!B157+Hal!B157+Cem!B157+Par!B157+EDv!C132+Str!B157+Ele!B157+Wat!B157+San!B157+Ref!B157+Mayor!B157+CFO!B157+MB!B157+Infra!B157</f>
        <v>2381600</v>
      </c>
      <c r="C157" s="89">
        <f>+Cs!C157+Fin!C157+Rat!C157+MM!C157+Lib!C157+Pry!C157+Hal!C157+Cem!C157+Par!C157+EDv!D132+Str!C157+Ele!C157+Wat!C157+San!C157+Ref!C157+Mayor!C157+CFO!C157+MB!C157+Infra!C157</f>
        <v>2381600</v>
      </c>
      <c r="D157" s="89">
        <f>+Cs!D157+Fin!D157+Rat!D157+MM!D157+Lib!D157+Pry!D157+Hal!D157+Cem!D157+Par!D157+EDv!E132+Str!D157+Ele!D157+Wat!D157+San!D157+Ref!D157+Mayor!D157+CFO!D157+MB!D157+Infra!D157</f>
        <v>2304370.5</v>
      </c>
      <c r="E157" s="235">
        <f>+Cs!E157+Fin!E157+Rat!E157+MM!E157+Lib!E157+Pry!E157+Hal!E157+Cem!E157+Par!E157+EDv!F132+Str!E157+Ele!E157+Wat!E157+San!E157+Ref!E157+Mayor!E157+CFO!E157+MB!E157+Infra!E157</f>
        <v>2456100</v>
      </c>
      <c r="F157" s="235">
        <f>+Cs!F157+Fin!F157+Rat!F157+MM!F157+Lib!F157+Pry!F157+Hal!F157+Cem!F157+Par!F157+EDv!G132+Str!F157+Ele!F157+Wat!F157+San!F157+Ref!F157+Mayor!F157+CFO!F157+MB!F157+Infra!F157</f>
        <v>2554400</v>
      </c>
      <c r="G157" s="235">
        <f>+Cs!G157+Fin!G157+Rat!G157+MM!G157+Lib!G157+Pry!G157+Hal!G157+Cem!G157+Par!G157+EDv!H132+Str!G157+Ele!G157+Wat!G157+San!G157+Ref!G157+Mayor!G157+CFO!G157+MB!G157+Infra!G157</f>
        <v>2662000</v>
      </c>
      <c r="H157" s="66" t="s">
        <v>2730</v>
      </c>
      <c r="I157" s="66"/>
    </row>
    <row r="158" spans="1:9" x14ac:dyDescent="0.35">
      <c r="A158" s="66" t="s">
        <v>3010</v>
      </c>
      <c r="B158" s="89">
        <f>+Cs!B158+Fin!B158+Rat!B158+MM!B158+Lib!B158+Pry!B158+Hal!B158+Cem!B158+Par!B158+EDv!C133+Str!B158+Ele!B158+Wat!B158+San!B158+Ref!B158+Mayor!B158+CFO!B158+MB!B158+Infra!B158</f>
        <v>285600</v>
      </c>
      <c r="C158" s="89">
        <f>+Cs!C158+Fin!C158+Rat!C158+MM!C158+Lib!C158+Pry!C158+Hal!C158+Cem!C158+Par!C158+EDv!D133+Str!C158+Ele!C158+Wat!C158+San!C158+Ref!C158+Mayor!C158+CFO!C158+MB!C158+Infra!C158</f>
        <v>285600</v>
      </c>
      <c r="D158" s="89">
        <f>+Cs!D158+Fin!D158+Rat!D158+MM!D158+Lib!D158+Pry!D158+Hal!D158+Cem!D158+Par!D158+EDv!E133+Str!D158+Ele!D158+Wat!D158+San!D158+Ref!D158+Mayor!D158+CFO!D158+MB!D158+Infra!D158</f>
        <v>285600</v>
      </c>
      <c r="E158" s="235">
        <f>+Cs!E158+Fin!E158+Rat!E158+MM!E158+Lib!E158+Pry!E158+Hal!E158+Cem!E158+Par!E158+EDv!F133+Str!E158+Ele!E158+Wat!E158+San!E158+Ref!E158+Mayor!E158+CFO!E158+MB!E158+Infra!E158</f>
        <v>285600</v>
      </c>
      <c r="F158" s="235">
        <f>+Cs!F158+Fin!F158+Rat!F158+MM!F158+Lib!F158+Pry!F158+Hal!F158+Cem!F158+Par!F158+EDv!G133+Str!F158+Ele!F158+Wat!F158+San!F158+Ref!F158+Mayor!F158+CFO!F158+MB!F158+Infra!F158</f>
        <v>285600</v>
      </c>
      <c r="G158" s="235">
        <f>+Cs!G158+Fin!G158+Rat!G158+MM!G158+Lib!G158+Pry!G158+Hal!G158+Cem!G158+Par!G158+EDv!H133+Str!G158+Ele!G158+Wat!G158+San!G158+Ref!G158+Mayor!G158+CFO!G158+MB!G158+Infra!G158</f>
        <v>285600</v>
      </c>
      <c r="H158" s="66" t="s">
        <v>2730</v>
      </c>
      <c r="I158" s="66"/>
    </row>
    <row r="159" spans="1:9" x14ac:dyDescent="0.35">
      <c r="A159" s="66" t="s">
        <v>3013</v>
      </c>
      <c r="B159" s="89">
        <f>+Cs!B159+Fin!B159+Rat!B159+MM!B159+Lib!B159+Pry!B159+Hal!B159+Cem!B159+Par!B159+EDv!C134+Str!B159+Ele!B159+Wat!B159+San!B159+Ref!B159+Mayor!B159+CFO!B159+MB!B159+Infra!B159</f>
        <v>7200</v>
      </c>
      <c r="C159" s="89">
        <f>+Cs!C159+Fin!C159+Rat!C159+MM!C159+Lib!C159+Pry!C159+Hal!C159+Cem!C159+Par!C159+EDv!D134+Str!C159+Ele!C159+Wat!C159+San!C159+Ref!C159+Mayor!C159+CFO!C159+MB!C159+Infra!C159</f>
        <v>7200</v>
      </c>
      <c r="D159" s="89">
        <f>+Cs!D159+Fin!D159+Rat!D159+MM!D159+Lib!D159+Pry!D159+Hal!D159+Cem!D159+Par!D159+EDv!E134+Str!D159+Ele!D159+Wat!D159+San!D159+Ref!D159+Mayor!D159+CFO!D159+MB!D159+Infra!D159</f>
        <v>21600</v>
      </c>
      <c r="E159" s="235">
        <f>+Cs!E159+Fin!E159+Rat!E159+MM!E159+Lib!E159+Pry!E159+Hal!E159+Cem!E159+Par!E159+EDv!F134+Str!E159+Ele!E159+Wat!E159+San!E159+Ref!E159+Mayor!E159+CFO!E159+MB!E159+Infra!E159</f>
        <v>21600</v>
      </c>
      <c r="F159" s="235">
        <f>+Cs!F159+Fin!F159+Rat!F159+MM!F159+Lib!F159+Pry!F159+Hal!F159+Cem!F159+Par!F159+EDv!G134+Str!F159+Ele!F159+Wat!F159+San!F159+Ref!F159+Mayor!F159+CFO!F159+MB!F159+Infra!F159</f>
        <v>21600</v>
      </c>
      <c r="G159" s="235">
        <f>+Cs!G159+Fin!G159+Rat!G159+MM!G159+Lib!G159+Pry!G159+Hal!G159+Cem!G159+Par!G159+EDv!H134+Str!G159+Ele!G159+Wat!G159+San!G159+Ref!G159+Mayor!G159+CFO!G159+MB!G159+Infra!G159</f>
        <v>21600</v>
      </c>
      <c r="H159" s="66" t="s">
        <v>2730</v>
      </c>
      <c r="I159" s="66"/>
    </row>
    <row r="160" spans="1:9" x14ac:dyDescent="0.35">
      <c r="A160" s="66" t="s">
        <v>3011</v>
      </c>
      <c r="B160" s="89">
        <f>+Cs!B160+Fin!B160+Rat!B160+MM!B160+Lib!B160+Pry!B160+Hal!B160+Cem!B160+Par!B160+EDv!C135+Str!B160+Ele!B160+Wat!B160+San!B160+Ref!B160+Mayor!B160+CFO!B160+MB!B160+Infra!B160</f>
        <v>0</v>
      </c>
      <c r="C160" s="89">
        <f>+Cs!C160+Fin!C160+Rat!C160+MM!C160+Lib!C160+Pry!C160+Hal!C160+Cem!C160+Par!C160+EDv!D135+Str!C160+Ele!C160+Wat!C160+San!C160+Ref!C160+Mayor!C160+CFO!C160+MB!C160+Infra!C160</f>
        <v>0</v>
      </c>
      <c r="D160" s="89">
        <f>+Cs!D160+Fin!D160+Rat!D160+MM!D160+Lib!D160+Pry!D160+Hal!D160+Cem!D160+Par!D160+EDv!E135+Str!D160+Ele!D160+Wat!D160+San!D160+Ref!D160+Mayor!D160+CFO!D160+MB!D160+Infra!D160</f>
        <v>0</v>
      </c>
      <c r="E160" s="235">
        <f>+Cs!E160+Fin!E160+Rat!E160+MM!E160+Lib!E160+Pry!E160+Hal!E160+Cem!E160+Par!E160+EDv!F135+Str!E160+Ele!E160+Wat!E160+San!E160+Ref!E160+Mayor!E160+CFO!E160+MB!E160+Infra!E160</f>
        <v>0</v>
      </c>
      <c r="F160" s="235">
        <f>+Cs!F160+Fin!F160+Rat!F160+MM!F160+Lib!F160+Pry!F160+Hal!F160+Cem!F160+Par!F160+EDv!G135+Str!F160+Ele!F160+Wat!F160+San!F160+Ref!F160+Mayor!F160+CFO!F160+MB!F160+Infra!F160</f>
        <v>0</v>
      </c>
      <c r="G160" s="235">
        <f>+Cs!G160+Fin!G160+Rat!G160+MM!G160+Lib!G160+Pry!G160+Hal!G160+Cem!G160+Par!G160+EDv!H135+Str!G160+Ele!G160+Wat!G160+San!G160+Ref!G160+Mayor!G160+CFO!G160+MB!G160+Infra!G160</f>
        <v>0</v>
      </c>
      <c r="H160" s="66" t="s">
        <v>2730</v>
      </c>
      <c r="I160" s="66"/>
    </row>
    <row r="161" spans="1:9" x14ac:dyDescent="0.35">
      <c r="A161" s="66" t="s">
        <v>2848</v>
      </c>
      <c r="B161" s="89">
        <f>+Cs!B161+Fin!B161+Rat!B161+MM!B161+Lib!B161+Pry!B161+Hal!B161+Cem!B161+Par!B161+EDv!C136+Str!B161+Ele!B161+Wat!B161+San!B161+Ref!B161+Mayor!B161+CFO!B161+MB!B161+Infra!B161</f>
        <v>8000</v>
      </c>
      <c r="C161" s="89">
        <f>+Cs!C161+Fin!C161+Rat!C161+MM!C161+Lib!C161+Pry!C161+Hal!C161+Cem!C161+Par!C161+EDv!D136+Str!C161+Ele!C161+Wat!C161+San!C161+Ref!C161+Mayor!C161+CFO!C161+MB!C161+Infra!C161</f>
        <v>8000</v>
      </c>
      <c r="D161" s="89">
        <f>+Cs!D161+Fin!D161+Rat!D161+MM!D161+Lib!D161+Pry!D161+Hal!D161+Cem!D161+Par!D161+EDv!E136+Str!D161+Ele!D161+Wat!D161+San!D161+Ref!D161+Mayor!D161+CFO!D161+MB!D161+Infra!D161</f>
        <v>6254</v>
      </c>
      <c r="E161" s="235">
        <f>+Cs!E161+Fin!E161+Rat!E161+MM!E161+Lib!E161+Pry!E161+Hal!E161+Cem!E161+Par!E161+EDv!F136+Str!E161+Ele!E161+Wat!E161+San!E161+Ref!E161+Mayor!E161+CFO!E161+MB!E161+Infra!E161</f>
        <v>8000</v>
      </c>
      <c r="F161" s="235">
        <f>+Cs!F161+Fin!F161+Rat!F161+MM!F161+Lib!F161+Pry!F161+Hal!F161+Cem!F161+Par!F161+EDv!G136+Str!F161+Ele!F161+Wat!F161+San!F161+Ref!F161+Mayor!F161+CFO!F161+MB!F161+Infra!F161</f>
        <v>8500</v>
      </c>
      <c r="G161" s="235">
        <f>+Cs!G161+Fin!G161+Rat!G161+MM!G161+Lib!G161+Pry!G161+Hal!G161+Cem!G161+Par!G161+EDv!H136+Str!G161+Ele!G161+Wat!G161+San!G161+Ref!G161+Mayor!G161+CFO!G161+MB!G161+Infra!G161</f>
        <v>9000</v>
      </c>
      <c r="H161" s="66" t="s">
        <v>2722</v>
      </c>
      <c r="I161" s="66"/>
    </row>
    <row r="162" spans="1:9" x14ac:dyDescent="0.35">
      <c r="A162" s="66" t="s">
        <v>3005</v>
      </c>
      <c r="B162" s="89">
        <f>+Cs!B162+Fin!B162+Rat!B162+MM!B162+Lib!B162+Pry!B162+Hal!B162+Cem!B162+Par!B162+EDv!C137+Str!B162+Ele!B162+Wat!B162+San!B162+Ref!B162+Mayor!B162+CFO!B162+MB!B162+Infra!B162</f>
        <v>345500</v>
      </c>
      <c r="C162" s="89">
        <f>+Cs!C162+Fin!C162+Rat!C162+MM!C162+Lib!C162+Pry!C162+Hal!C162+Cem!C162+Par!C162+EDv!D137+Str!C162+Ele!C162+Wat!C162+San!C162+Ref!C162+Mayor!C162+CFO!C162+MB!C162+Infra!C162</f>
        <v>345500</v>
      </c>
      <c r="D162" s="89">
        <f>+Cs!D162+Fin!D162+Rat!D162+MM!D162+Lib!D162+Pry!D162+Hal!D162+Cem!D162+Par!D162+EDv!E137+Str!D162+Ele!D162+Wat!D162+San!D162+Ref!D162+Mayor!D162+CFO!D162+MB!D162+Infra!D162</f>
        <v>349851.16</v>
      </c>
      <c r="E162" s="235">
        <f>+Cs!E162+Fin!E162+Rat!E162+MM!E162+Lib!E162+Pry!E162+Hal!E162+Cem!E162+Par!E162+EDv!F137+Str!E162+Ele!E162+Wat!E162+San!E162+Ref!E162+Mayor!E162+CFO!E162+MB!E162+Infra!E162</f>
        <v>400000</v>
      </c>
      <c r="F162" s="235">
        <f>+Cs!F162+Fin!F162+Rat!F162+MM!F162+Lib!F162+Pry!F162+Hal!F162+Cem!F162+Par!F162+EDv!G137+Str!F162+Ele!F162+Wat!F162+San!F162+Ref!F162+Mayor!F162+CFO!F162+MB!F162+Infra!F162</f>
        <v>418400</v>
      </c>
      <c r="G162" s="235">
        <f>+Cs!G162+Fin!G162+Rat!G162+MM!G162+Lib!G162+Pry!G162+Hal!G162+Cem!G162+Par!G162+EDv!H137+Str!G162+Ele!G162+Wat!G162+San!G162+Ref!G162+Mayor!G162+CFO!G162+MB!G162+Infra!G162</f>
        <v>437600</v>
      </c>
      <c r="H162" s="66" t="s">
        <v>2727</v>
      </c>
      <c r="I162" s="66"/>
    </row>
    <row r="163" spans="1:9" x14ac:dyDescent="0.35">
      <c r="A163" s="66" t="s">
        <v>3009</v>
      </c>
      <c r="B163" s="89">
        <f>+Cs!B163+Fin!B163+Rat!B163+MM!B163+Lib!B163+Pry!B163+Hal!B163+Cem!B163+Par!B163+EDv!C138+Str!B163+Ele!B163+Wat!B163+San!B163+Ref!B163+Mayor!B163+CFO!B163+MB!B163+Infra!B163</f>
        <v>50000</v>
      </c>
      <c r="C163" s="89">
        <f>+Cs!C163+Fin!C163+Rat!C163+MM!C163+Lib!C163+Pry!C163+Hal!C163+Cem!C163+Par!C163+EDv!D138+Str!C163+Ele!C163+Wat!C163+San!C163+Ref!C163+Mayor!C163+CFO!C163+MB!C163+Infra!C163</f>
        <v>50000</v>
      </c>
      <c r="D163" s="89">
        <f>+Cs!D163+Fin!D163+Rat!D163+MM!D163+Lib!D163+Pry!D163+Hal!D163+Cem!D163+Par!D163+EDv!E138+Str!D163+Ele!D163+Wat!D163+San!D163+Ref!D163+Mayor!D163+CFO!D163+MB!D163+Infra!D163</f>
        <v>45216.97</v>
      </c>
      <c r="E163" s="235">
        <f>+Cs!E163+Fin!E163+Rat!E163+MM!E163+Lib!E163+Pry!E163+Hal!E163+Cem!E163+Par!E163+EDv!F138+Str!E163+Ele!E163+Wat!E163+San!E163+Ref!E163+Mayor!E163+CFO!E163+MB!E163+Infra!E163</f>
        <v>50000</v>
      </c>
      <c r="F163" s="235">
        <f>+Cs!F163+Fin!F163+Rat!F163+MM!F163+Lib!F163+Pry!F163+Hal!F163+Cem!F163+Par!F163+EDv!G138+Str!F163+Ele!F163+Wat!F163+San!F163+Ref!F163+Mayor!F163+CFO!F163+MB!F163+Infra!F163</f>
        <v>103300</v>
      </c>
      <c r="G163" s="235">
        <f>+Cs!G163+Fin!G163+Rat!G163+MM!G163+Lib!G163+Pry!G163+Hal!G163+Cem!G163+Par!G163+EDv!H138+Str!G163+Ele!G163+Wat!G163+San!G163+Ref!G163+Mayor!G163+CFO!G163+MB!G163+Infra!G163</f>
        <v>106700</v>
      </c>
      <c r="H163" s="66" t="s">
        <v>2727</v>
      </c>
      <c r="I163" s="66"/>
    </row>
    <row r="164" spans="1:9" x14ac:dyDescent="0.35">
      <c r="A164" s="66" t="s">
        <v>3004</v>
      </c>
      <c r="B164" s="89">
        <f>+Cs!B164+Fin!B164+Rat!B164+MM!B164+Lib!B164+Pry!B164+Hal!B164+Cem!B164+Par!B164+EDv!C139+Str!B164+Ele!B164+Wat!B164+San!B164+Ref!B164+Mayor!B164+CFO!B164+MB!B164+Infra!B164</f>
        <v>710000</v>
      </c>
      <c r="C164" s="89">
        <f>+Cs!C164+Fin!C164+Rat!C164+MM!C164+Lib!C164+Pry!C164+Hal!C164+Cem!C164+Par!C164+EDv!D139+Str!C164+Ele!C164+Wat!C164+San!C164+Ref!C164+Mayor!C164+CFO!C164+MB!C164+Infra!C164</f>
        <v>710000</v>
      </c>
      <c r="D164" s="89">
        <f>+Cs!D164+Fin!D164+Rat!D164+MM!D164+Lib!D164+Pry!D164+Hal!D164+Cem!D164+Par!D164+EDv!E139+Str!D164+Ele!D164+Wat!D164+San!D164+Ref!D164+Mayor!D164+CFO!D164+MB!D164+Infra!D164</f>
        <v>775482.94</v>
      </c>
      <c r="E164" s="235">
        <f>+Cs!E164+Fin!E164+Rat!E164+MM!E164+Lib!E164+Pry!E164+Hal!E164+Cem!E164+Par!E164+EDv!F139+Str!E164+Ele!E164+Wat!E164+San!E164+Ref!E164+Mayor!E164+CFO!E164+MB!E164+Infra!E164</f>
        <v>1200000</v>
      </c>
      <c r="F164" s="235">
        <f>+Cs!F164+Fin!F164+Rat!F164+MM!F164+Lib!F164+Pry!F164+Hal!F164+Cem!F164+Par!F164+EDv!G139+Str!F164+Ele!F164+Wat!F164+San!F164+Ref!F164+Mayor!F164+CFO!F164+MB!F164+Infra!F164</f>
        <v>1255200</v>
      </c>
      <c r="G164" s="235">
        <f>+Cs!G164+Fin!G164+Rat!G164+MM!G164+Lib!G164+Pry!G164+Hal!G164+Cem!G164+Par!G164+EDv!H139+Str!G164+Ele!G164+Wat!G164+San!G164+Ref!G164+Mayor!G164+CFO!G164+MB!G164+Infra!G164</f>
        <v>1313000</v>
      </c>
      <c r="H164" s="66" t="s">
        <v>2727</v>
      </c>
      <c r="I164" s="66"/>
    </row>
    <row r="165" spans="1:9" x14ac:dyDescent="0.35">
      <c r="A165" s="66" t="s">
        <v>3008</v>
      </c>
      <c r="B165" s="89">
        <f>+Cs!B165+Fin!B165+Rat!B165+MM!B165+Lib!B165+Pry!B165+Hal!B165+Cem!B165+Par!B165+EDv!C140+Str!B165+Ele!B165+Wat!B165+San!B165+Ref!B165+Mayor!B165+CFO!B165+MB!B165+Infra!B165</f>
        <v>569400</v>
      </c>
      <c r="C165" s="89">
        <f>+Cs!C165+Fin!C165+Rat!C165+MM!C165+Lib!C165+Pry!C165+Hal!C165+Cem!C165+Par!C165+EDv!D140+Str!C165+Ele!C165+Wat!C165+San!C165+Ref!C165+Mayor!C165+CFO!C165+MB!C165+Infra!C165</f>
        <v>569400</v>
      </c>
      <c r="D165" s="89">
        <f>+Cs!D165+Fin!D165+Rat!D165+MM!D165+Lib!D165+Pry!D165+Hal!D165+Cem!D165+Par!D165+EDv!E140+Str!D165+Ele!D165+Wat!D165+San!D165+Ref!D165+Mayor!D165+CFO!D165+MB!D165+Infra!D165</f>
        <v>564000</v>
      </c>
      <c r="E165" s="235">
        <f>+Cs!E165+Fin!E165+Rat!E165+MM!E165+Lib!E165+Pry!E165+Hal!E165+Cem!E165+Par!E165+EDv!F140+Str!E165+Ele!E165+Wat!E165+San!E165+Ref!E165+Mayor!E165+CFO!E165+MB!E165+Infra!E165</f>
        <v>569400</v>
      </c>
      <c r="F165" s="235">
        <f>+Cs!F165+Fin!F165+Rat!F165+MM!F165+Lib!F165+Pry!F165+Hal!F165+Cem!F165+Par!F165+EDv!G140+Str!F165+Ele!F165+Wat!F165+San!F165+Ref!F165+Mayor!F165+CFO!F165+MB!F165+Infra!F165</f>
        <v>705600</v>
      </c>
      <c r="G165" s="235">
        <f>+Cs!G165+Fin!G165+Rat!G165+MM!G165+Lib!G165+Pry!G165+Hal!G165+Cem!G165+Par!G165+EDv!H140+Str!G165+Ele!G165+Wat!G165+San!G165+Ref!G165+Mayor!G165+CFO!G165+MB!G165+Infra!G165</f>
        <v>744000</v>
      </c>
      <c r="H165" s="66" t="s">
        <v>2727</v>
      </c>
      <c r="I165" s="66"/>
    </row>
    <row r="166" spans="1:9" x14ac:dyDescent="0.35">
      <c r="A166" s="66" t="s">
        <v>3007</v>
      </c>
      <c r="B166" s="89">
        <f>+Cs!B166+Fin!B166+Rat!B166+MM!B166+Lib!B166+Pry!B166+Hal!B166+Cem!B166+Par!B166+EDv!C141+Str!B166+Ele!B166+Wat!B166+San!B166+Ref!B166+Mayor!B166+CFO!B166+MB!B166+Infra!B166</f>
        <v>626900</v>
      </c>
      <c r="C166" s="89">
        <f>+Cs!C166+Fin!C166+Rat!C166+MM!C166+Lib!C166+Pry!C166+Hal!C166+Cem!C166+Par!C166+EDv!D141+Str!C166+Ele!C166+Wat!C166+San!C166+Ref!C166+Mayor!C166+CFO!C166+MB!C166+Infra!C166</f>
        <v>626900</v>
      </c>
      <c r="D166" s="89">
        <f>+Cs!D166+Fin!D166+Rat!D166+MM!D166+Lib!D166+Pry!D166+Hal!D166+Cem!D166+Par!D166+EDv!E141+Str!D166+Ele!D166+Wat!D166+San!D166+Ref!D166+Mayor!D166+CFO!D166+MB!D166+Infra!D166</f>
        <v>798000</v>
      </c>
      <c r="E166" s="235">
        <f>+Cs!E166+Fin!E166+Rat!E166+MM!E166+Lib!E166+Pry!E166+Hal!E166+Cem!E166+Par!E166+EDv!F141+Str!E166+Ele!E166+Wat!E166+San!E166+Ref!E166+Mayor!E166+CFO!E166+MB!E166+Infra!E166</f>
        <v>850000</v>
      </c>
      <c r="F166" s="235">
        <f>+Cs!F166+Fin!F166+Rat!F166+MM!F166+Lib!F166+Pry!F166+Hal!F166+Cem!F166+Par!F166+EDv!G141+Str!F166+Ele!F166+Wat!F166+San!F166+Ref!F166+Mayor!F166+CFO!F166+MB!F166+Infra!F166</f>
        <v>889100</v>
      </c>
      <c r="G166" s="235">
        <f>+Cs!G166+Fin!G166+Rat!G166+MM!G166+Lib!G166+Pry!G166+Hal!G166+Cem!G166+Par!G166+EDv!H141+Str!G166+Ele!G166+Wat!G166+San!G166+Ref!G166+Mayor!G166+CFO!G166+MB!G166+Infra!G166</f>
        <v>930000</v>
      </c>
      <c r="H166" s="66" t="s">
        <v>2727</v>
      </c>
      <c r="I166" s="66"/>
    </row>
    <row r="167" spans="1:9" x14ac:dyDescent="0.35">
      <c r="A167" s="66" t="s">
        <v>3006</v>
      </c>
      <c r="B167" s="89">
        <f>+Cs!B167+Fin!B167+Rat!B167+MM!B167+Lib!B167+Pry!B167+Hal!B167+Cem!B167+Par!B167+EDv!C142+Str!B167+Ele!B167+Wat!B167+San!B167+Ref!B167+Mayor!B167+CFO!B167+MB!B167+Infra!B167</f>
        <v>612900</v>
      </c>
      <c r="C167" s="89">
        <f>+Cs!C167+Fin!C167+Rat!C167+MM!C167+Lib!C167+Pry!C167+Hal!C167+Cem!C167+Par!C167+EDv!D142+Str!C167+Ele!C167+Wat!C167+San!C167+Ref!C167+Mayor!C167+CFO!C167+MB!C167+Infra!C167</f>
        <v>612900</v>
      </c>
      <c r="D167" s="89">
        <f>+Cs!D167+Fin!D167+Rat!D167+MM!D167+Lib!D167+Pry!D167+Hal!D167+Cem!D167+Par!D167+EDv!E142+Str!D167+Ele!D167+Wat!D167+San!D167+Ref!D167+Mayor!D167+CFO!D167+MB!D167+Infra!D167</f>
        <v>796770</v>
      </c>
      <c r="E167" s="235">
        <f>+Cs!E167+Fin!E167+Rat!E167+MM!E167+Lib!E167+Pry!E167+Hal!E167+Cem!E167+Par!E167+EDv!F142+Str!E167+Ele!E167+Wat!E167+San!E167+Ref!E167+Mayor!E167+CFO!E167+MB!E167+Infra!E167</f>
        <v>670000</v>
      </c>
      <c r="F167" s="235">
        <f>+Cs!F167+Fin!F167+Rat!F167+MM!F167+Lib!F167+Pry!F167+Hal!F167+Cem!F167+Par!F167+EDv!G142+Str!F167+Ele!F167+Wat!F167+San!F167+Ref!F167+Mayor!F167+CFO!F167+MB!F167+Infra!F167</f>
        <v>700800</v>
      </c>
      <c r="G167" s="235">
        <f>+Cs!G167+Fin!G167+Rat!G167+MM!G167+Lib!G167+Pry!G167+Hal!G167+Cem!G167+Par!G167+EDv!H142+Str!G167+Ele!G167+Wat!G167+San!G167+Ref!G167+Mayor!G167+CFO!G167+MB!G167+Infra!G167</f>
        <v>734000</v>
      </c>
      <c r="H167" s="66" t="s">
        <v>2727</v>
      </c>
      <c r="I167" s="66"/>
    </row>
    <row r="168" spans="1:9" ht="16.5" customHeight="1" x14ac:dyDescent="0.35">
      <c r="A168" s="66" t="s">
        <v>2983</v>
      </c>
      <c r="B168" s="89">
        <f>+Cs!B168+Fin!B168+Rat!B168+MM!B168+Lib!B168+Pry!B168+Hal!B168+Cem!B168+Par!B168+EDv!C143+Str!B168+Ele!B168+Wat!B168+San!B168+Ref!B168+Mayor!B168+CFO!B168+MB!B168+Infra!B168</f>
        <v>8000</v>
      </c>
      <c r="C168" s="89">
        <f>+Cs!C168+Fin!C168+Rat!C168+MM!C168+Lib!C168+Pry!C168+Hal!C168+Cem!C168+Par!C168+EDv!D143+Str!C168+Ele!C168+Wat!C168+San!C168+Ref!C168+Mayor!C168+CFO!C168+MB!C168+Infra!C168</f>
        <v>8000</v>
      </c>
      <c r="D168" s="89">
        <f>+Cs!D168+Fin!D168+Rat!D168+MM!D168+Lib!D168+Pry!D168+Hal!D168+Cem!D168+Par!D168+EDv!E143+Str!D168+Ele!D168+Wat!D168+San!D168+Ref!D168+Mayor!D168+CFO!D168+MB!D168+Infra!D168</f>
        <v>7819</v>
      </c>
      <c r="E168" s="235">
        <f>+Cs!E168+Fin!E168+Rat!E168+MM!E168+Lib!E168+Pry!E168+Hal!E168+Cem!E168+Par!E168+EDv!F143+Str!E168+Ele!E168+Wat!E168+San!E168+Ref!E168+Mayor!E168+CFO!E168+MB!E168+Infra!E168</f>
        <v>8500</v>
      </c>
      <c r="F168" s="235">
        <f>+Cs!F168+Fin!F168+Rat!F168+MM!F168+Lib!F168+Pry!F168+Hal!F168+Cem!F168+Par!F168+EDv!G143+Str!F168+Ele!F168+Wat!F168+San!F168+Ref!F168+Mayor!F168+CFO!F168+MB!F168+Infra!F168</f>
        <v>8700</v>
      </c>
      <c r="G168" s="235">
        <f>+Cs!G168+Fin!G168+Rat!G168+MM!G168+Lib!G168+Pry!G168+Hal!G168+Cem!G168+Par!G168+EDv!H143+Str!G168+Ele!G168+Wat!G168+San!G168+Ref!G168+Mayor!G168+CFO!G168+MB!G168+Infra!G168</f>
        <v>8900</v>
      </c>
      <c r="H168" s="66" t="s">
        <v>2722</v>
      </c>
      <c r="I168" s="66"/>
    </row>
    <row r="169" spans="1:9" x14ac:dyDescent="0.35">
      <c r="A169" s="66" t="s">
        <v>2978</v>
      </c>
      <c r="B169" s="89">
        <f>+Cs!B169+Fin!B169+Rat!B169+MM!B169+Lib!B169+Pry!B169+Hal!B169+Cem!B169+Par!B169+EDv!C144+Str!B169+Ele!B169+Wat!B169+San!B169+Ref!B169+Mayor!B169+CFO!B169+MB!B169+Infra!B169</f>
        <v>7000</v>
      </c>
      <c r="C169" s="89">
        <f>+Cs!C169+Fin!C169+Rat!C169+MM!C169+Lib!C169+Pry!C169+Hal!C169+Cem!C169+Par!C169+EDv!D144+Str!C169+Ele!C169+Wat!C169+San!C169+Ref!C169+Mayor!C169+CFO!C169+MB!C169+Infra!C169</f>
        <v>7000</v>
      </c>
      <c r="D169" s="89">
        <f>+Cs!D169+Fin!D169+Rat!D169+MM!D169+Lib!D169+Pry!D169+Hal!D169+Cem!D169+Par!D169+EDv!E144+Str!D169+Ele!D169+Wat!D169+San!D169+Ref!D169+Mayor!D169+CFO!D169+MB!D169+Infra!D169</f>
        <v>6200</v>
      </c>
      <c r="E169" s="235">
        <f>+Cs!E169+Fin!E169+Rat!E169+MM!E169+Lib!E169+Pry!E169+Hal!E169+Cem!E169+Par!E169+EDv!F144+Str!E169+Ele!E169+Wat!E169+San!E169+Ref!E169+Mayor!E169+CFO!E169+MB!E169+Infra!E169</f>
        <v>7000</v>
      </c>
      <c r="F169" s="235">
        <f>+Cs!F169+Fin!F169+Rat!F169+MM!F169+Lib!F169+Pry!F169+Hal!F169+Cem!F169+Par!F169+EDv!G144+Str!F169+Ele!F169+Wat!F169+San!F169+Ref!F169+Mayor!F169+CFO!F169+MB!F169+Infra!F169</f>
        <v>8000</v>
      </c>
      <c r="G169" s="235">
        <f>+Cs!G169+Fin!G169+Rat!G169+MM!G169+Lib!G169+Pry!G169+Hal!G169+Cem!G169+Par!G169+EDv!H144+Str!G169+Ele!G169+Wat!G169+San!G169+Ref!G169+Mayor!G169+CFO!G169+MB!G169+Infra!G169</f>
        <v>9000</v>
      </c>
      <c r="H169" s="66" t="s">
        <v>2722</v>
      </c>
      <c r="I169" s="66"/>
    </row>
    <row r="170" spans="1:9" x14ac:dyDescent="0.35">
      <c r="A170" s="66" t="s">
        <v>2849</v>
      </c>
      <c r="B170" s="89">
        <f>+Cs!B170+Fin!B170+Rat!B170+MM!B170+Lib!B170+Pry!B170+Hal!B170+Cem!B170+Par!B170+EDv!C145+Str!B170+Ele!B170+Wat!B170+San!B170+Ref!B170+Mayor!B170+CFO!B170+MB!B170+Infra!B170</f>
        <v>7500000</v>
      </c>
      <c r="C170" s="89">
        <f>+Cs!C170+Fin!C170+Rat!C170+MM!C170+Lib!C170+Pry!C170+Hal!C170+Cem!C170+Par!C170+EDv!D145+Str!C170+Ele!C170+Wat!C170+San!C170+Ref!C170+Mayor!C170+CFO!C170+MB!C170+Infra!C170</f>
        <v>7500000</v>
      </c>
      <c r="D170" s="89">
        <f>+Cs!D170+Fin!D170+Rat!D170+MM!D170+Lib!D170+Pry!D170+Hal!D170+Cem!D170+Par!D170+EDv!E145+Str!D170+Ele!D170+Wat!D170+San!D170+Ref!D170+Mayor!D170+CFO!D170+MB!D170+Infra!D170</f>
        <v>7225000</v>
      </c>
      <c r="E170" s="235">
        <f>+Cs!E170+Fin!E170+Rat!E170+MM!E170+Lib!E170+Pry!E170+Hal!E170+Cem!E170+Par!E170+EDv!F145+Str!E170+Ele!E170+Wat!E170+San!E170+Ref!E170+Mayor!E170+CFO!E170+MB!E170+Infra!E170</f>
        <v>7500000</v>
      </c>
      <c r="F170" s="235">
        <f>+Cs!F170+Fin!F170+Rat!F170+MM!F170+Lib!F170+Pry!F170+Hal!F170+Cem!F170+Par!F170+EDv!G145+Str!F170+Ele!F170+Wat!F170+San!F170+Ref!F170+Mayor!F170+CFO!F170+MB!F170+Infra!F170</f>
        <v>7574000</v>
      </c>
      <c r="G170" s="235">
        <f>+Cs!G170+Fin!G170+Rat!G170+MM!G170+Lib!G170+Pry!G170+Hal!G170+Cem!G170+Par!G170+EDv!H145+Str!G170+Ele!G170+Wat!G170+San!G170+Ref!G170+Mayor!G170+CFO!G170+MB!G170+Infra!G170</f>
        <v>7651000</v>
      </c>
      <c r="H170" s="66" t="s">
        <v>2726</v>
      </c>
      <c r="I170" s="66"/>
    </row>
    <row r="171" spans="1:9" x14ac:dyDescent="0.35">
      <c r="A171" s="66" t="s">
        <v>3000</v>
      </c>
      <c r="B171" s="89">
        <f>+Cs!B171+Fin!B171+Rat!B171+MM!B171+Lib!B171+Pry!B171+Hal!B171+Cem!B171+Par!B171+EDv!C146+Str!B171+Ele!B171+Wat!B171+San!B171+Ref!B171+Mayor!B171+CFO!B171+MB!B171+Infra!B171</f>
        <v>16000</v>
      </c>
      <c r="C171" s="89">
        <f>+Cs!C171+Fin!C171+Rat!C171+MM!C171+Lib!C171+Pry!C171+Hal!C171+Cem!C171+Par!C171+EDv!D146+Str!C171+Ele!C171+Wat!C171+San!C171+Ref!C171+Mayor!C171+CFO!C171+MB!C171+Infra!C171</f>
        <v>16000</v>
      </c>
      <c r="D171" s="89">
        <f>+Cs!D171+Fin!D171+Rat!D171+MM!D171+Lib!D171+Pry!D171+Hal!D171+Cem!D171+Par!D171+EDv!E146+Str!D171+Ele!D171+Wat!D171+San!D171+Ref!D171+Mayor!D171+CFO!D171+MB!D171+Infra!D171</f>
        <v>13500</v>
      </c>
      <c r="E171" s="235">
        <f>+Cs!E171+Fin!E171+Rat!E171+MM!E171+Lib!E171+Pry!E171+Hal!E171+Cem!E171+Par!E171+EDv!F146+Str!E171+Ele!E171+Wat!E171+San!E171+Ref!E171+Mayor!E171+CFO!E171+MB!E171+Infra!E171</f>
        <v>16000</v>
      </c>
      <c r="F171" s="235">
        <f>+Cs!F171+Fin!F171+Rat!F171+MM!F171+Lib!F171+Pry!F171+Hal!F171+Cem!F171+Par!F171+EDv!G146+Str!F171+Ele!F171+Wat!F171+San!F171+Ref!F171+Mayor!F171+CFO!F171+MB!F171+Infra!F171</f>
        <v>16900</v>
      </c>
      <c r="G171" s="235">
        <f>+Cs!G171+Fin!G171+Rat!G171+MM!G171+Lib!G171+Pry!G171+Hal!G171+Cem!G171+Par!G171+EDv!H146+Str!G171+Ele!G171+Wat!G171+San!G171+Ref!G171+Mayor!G171+CFO!G171+MB!G171+Infra!G171</f>
        <v>17800</v>
      </c>
      <c r="H171" s="66" t="s">
        <v>3491</v>
      </c>
      <c r="I171" s="66"/>
    </row>
    <row r="172" spans="1:9" x14ac:dyDescent="0.35">
      <c r="A172" s="66" t="s">
        <v>3421</v>
      </c>
      <c r="B172" s="89">
        <f>+Cs!B172+Fin!B172+Rat!B172+MM!B172+Lib!B172+Pry!B172+Hal!B172+Cem!B172+Par!B172+EDv!C147+Str!B172+Ele!B172+Wat!B172+San!B172+Ref!B172+Mayor!B172+CFO!B172+MB!B172+Infra!B172</f>
        <v>2000</v>
      </c>
      <c r="C172" s="89">
        <f>+Cs!C172+Fin!C172+Rat!C172+MM!C172+Lib!C172+Pry!C172+Hal!C172+Cem!C172+Par!C172+EDv!D147+Str!C172+Ele!C172+Wat!C172+San!C172+Ref!C172+Mayor!C172+CFO!C172+MB!C172+Infra!C172</f>
        <v>0</v>
      </c>
      <c r="D172" s="89">
        <f>+Cs!D172+Fin!D172+Rat!D172+MM!D172+Lib!D172+Pry!D172+Hal!D172+Cem!D172+Par!D172+EDv!E147+Str!D172+Ele!D172+Wat!D172+San!D172+Ref!D172+Mayor!D172+CFO!D172+MB!D172+Infra!D172</f>
        <v>0</v>
      </c>
      <c r="E172" s="235">
        <f>+Cs!E172+Fin!E172+Rat!E172+MM!E172+Lib!E172+Pry!E172+Hal!E172+Cem!E172+Par!E172+EDv!F147+Str!E172+Ele!E172+Wat!E172+San!E172+Ref!E172+Mayor!E172+CFO!E172+MB!E172+Infra!E172</f>
        <v>0</v>
      </c>
      <c r="F172" s="235">
        <f>+Cs!F172+Fin!F172+Rat!F172+MM!F172+Lib!F172+Pry!F172+Hal!F172+Cem!F172+Par!F172+EDv!G147+Str!F172+Ele!F172+Wat!F172+San!F172+Ref!F172+Mayor!F172+CFO!F172+MB!F172+Infra!F172</f>
        <v>0</v>
      </c>
      <c r="G172" s="235">
        <f>+Cs!G172+Fin!G172+Rat!G172+MM!G172+Lib!G172+Pry!G172+Hal!G172+Cem!G172+Par!G172+EDv!H147+Str!G172+Ele!G172+Wat!G172+San!G172+Ref!G172+Mayor!G172+CFO!G172+MB!G172+Infra!G172</f>
        <v>0</v>
      </c>
      <c r="H172" s="66" t="s">
        <v>3495</v>
      </c>
      <c r="I172" s="66"/>
    </row>
    <row r="173" spans="1:9" x14ac:dyDescent="0.35">
      <c r="A173" s="66" t="s">
        <v>2879</v>
      </c>
      <c r="B173" s="89">
        <f>+Cs!B173+Fin!B173+Rat!B173+MM!B173+Lib!B173+Pry!B173+Hal!B173+Cem!B173+Par!B173+EDv!C148+Str!B173+Ele!B173+Wat!B173+San!B173+Ref!B173+Mayor!B173+CFO!B173+MB!B173+Infra!B173</f>
        <v>20000</v>
      </c>
      <c r="C173" s="89">
        <f>+Cs!C173+Fin!C173+Rat!C173+MM!C173+Lib!C173+Pry!C173+Hal!C173+Cem!C173+Par!C173+EDv!D148+Str!C173+Ele!C173+Wat!C173+San!C173+Ref!C173+Mayor!C173+CFO!C173+MB!C173+Infra!C173</f>
        <v>0</v>
      </c>
      <c r="D173" s="89">
        <f>+Cs!D173+Fin!D173+Rat!D173+MM!D173+Lib!D173+Pry!D173+Hal!D173+Cem!D173+Par!D173+EDv!E148+Str!D173+Ele!D173+Wat!D173+San!D173+Ref!D173+Mayor!D173+CFO!D173+MB!D173+Infra!D173</f>
        <v>0</v>
      </c>
      <c r="E173" s="235">
        <f>+Cs!E173+Fin!E173+Rat!E173+MM!E173+Lib!E173+Pry!E173+Hal!E173+Cem!E173+Par!E173+EDv!F148+Str!E173+Ele!E173+Wat!E173+San!E173+Ref!E173+Mayor!E173+CFO!E173+MB!E173+Infra!E173</f>
        <v>0</v>
      </c>
      <c r="F173" s="235">
        <f>+Cs!F173+Fin!F173+Rat!F173+MM!F173+Lib!F173+Pry!F173+Hal!F173+Cem!F173+Par!F173+EDv!G148+Str!F173+Ele!F173+Wat!F173+San!F173+Ref!F173+Mayor!F173+CFO!F173+MB!F173+Infra!F173</f>
        <v>0</v>
      </c>
      <c r="G173" s="235">
        <f>+Cs!G173+Fin!G173+Rat!G173+MM!G173+Lib!G173+Pry!G173+Hal!G173+Cem!G173+Par!G173+EDv!H148+Str!G173+Ele!G173+Wat!G173+San!G173+Ref!G173+Mayor!G173+CFO!G173+MB!G173+Infra!G173</f>
        <v>0</v>
      </c>
      <c r="H173" s="66" t="s">
        <v>3495</v>
      </c>
      <c r="I173" s="66"/>
    </row>
    <row r="174" spans="1:9" x14ac:dyDescent="0.35">
      <c r="A174" s="66" t="s">
        <v>3422</v>
      </c>
      <c r="B174" s="89">
        <f>+Cs!B174+Fin!B174+Rat!B174+MM!B174+Lib!B174+Pry!B174+Hal!B174+Cem!B174+Par!B174+EDv!C149+Str!B174+Ele!B174+Wat!B174+San!B174+Ref!B174+Mayor!B174+CFO!B174+MB!B174+Infra!B174</f>
        <v>4000</v>
      </c>
      <c r="C174" s="89">
        <f>+Cs!C174+Fin!C174+Rat!C174+MM!C174+Lib!C174+Pry!C174+Hal!C174+Cem!C174+Par!C174+EDv!D149+Str!C174+Ele!C174+Wat!C174+San!C174+Ref!C174+Mayor!C174+CFO!C174+MB!C174+Infra!C174</f>
        <v>0</v>
      </c>
      <c r="D174" s="89">
        <f>+Cs!D174+Fin!D174+Rat!D174+MM!D174+Lib!D174+Pry!D174+Hal!D174+Cem!D174+Par!D174+EDv!E149+Str!D174+Ele!D174+Wat!D174+San!D174+Ref!D174+Mayor!D174+CFO!D174+MB!D174+Infra!D174</f>
        <v>0</v>
      </c>
      <c r="E174" s="235">
        <f>+Cs!E174+Fin!E174+Rat!E174+MM!E174+Lib!E174+Pry!E174+Hal!E174+Cem!E174+Par!E174+EDv!F149+Str!E174+Ele!E174+Wat!E174+San!E174+Ref!E174+Mayor!E174+CFO!E174+MB!E174+Infra!E174</f>
        <v>0</v>
      </c>
      <c r="F174" s="235">
        <f>+Cs!F174+Fin!F174+Rat!F174+MM!F174+Lib!F174+Pry!F174+Hal!F174+Cem!F174+Par!F174+EDv!G149+Str!F174+Ele!F174+Wat!F174+San!F174+Ref!F174+Mayor!F174+CFO!F174+MB!F174+Infra!F174</f>
        <v>0</v>
      </c>
      <c r="G174" s="235">
        <f>+Cs!G174+Fin!G174+Rat!G174+MM!G174+Lib!G174+Pry!G174+Hal!G174+Cem!G174+Par!G174+EDv!H149+Str!G174+Ele!G174+Wat!G174+San!G174+Ref!G174+Mayor!G174+CFO!G174+MB!G174+Infra!G174</f>
        <v>0</v>
      </c>
      <c r="H174" s="66" t="s">
        <v>3495</v>
      </c>
      <c r="I174" s="66"/>
    </row>
    <row r="175" spans="1:9" x14ac:dyDescent="0.35">
      <c r="A175" s="66" t="s">
        <v>2881</v>
      </c>
      <c r="B175" s="89">
        <f>+Cs!B175+Fin!B175+Rat!B175+MM!B175+Lib!B175+Pry!B175+Hal!B175+Cem!B175+Par!B175+EDv!C150+Str!B175+Ele!B175+Wat!B175+San!B175+Ref!B175+Mayor!B175+CFO!B175+MB!B175+Infra!B175</f>
        <v>45000</v>
      </c>
      <c r="C175" s="89">
        <f>+Cs!C175+Fin!C175+Rat!C175+MM!C175+Lib!C175+Pry!C175+Hal!C175+Cem!C175+Par!C175+EDv!D150+Str!C175+Ele!C175+Wat!C175+San!C175+Ref!C175+Mayor!C175+CFO!C175+MB!C175+Infra!C175</f>
        <v>0</v>
      </c>
      <c r="D175" s="89">
        <f>+Cs!D175+Fin!D175+Rat!D175+MM!D175+Lib!D175+Pry!D175+Hal!D175+Cem!D175+Par!D175+EDv!E150+Str!D175+Ele!D175+Wat!D175+San!D175+Ref!D175+Mayor!D175+CFO!D175+MB!D175+Infra!D175</f>
        <v>0</v>
      </c>
      <c r="E175" s="235">
        <f>+Cs!E175+Fin!E175+Rat!E175+MM!E175+Lib!E175+Pry!E175+Hal!E175+Cem!E175+Par!E175+EDv!F150+Str!E175+Ele!E175+Wat!E175+San!E175+Ref!E175+Mayor!E175+CFO!E175+MB!E175+Infra!E175</f>
        <v>0</v>
      </c>
      <c r="F175" s="235">
        <f>+Cs!F175+Fin!F175+Rat!F175+MM!F175+Lib!F175+Pry!F175+Hal!F175+Cem!F175+Par!F175+EDv!G150+Str!F175+Ele!F175+Wat!F175+San!F175+Ref!F175+Mayor!F175+CFO!F175+MB!F175+Infra!F175</f>
        <v>0</v>
      </c>
      <c r="G175" s="235">
        <f>+Cs!G175+Fin!G175+Rat!G175+MM!G175+Lib!G175+Pry!G175+Hal!G175+Cem!G175+Par!G175+EDv!H150+Str!G175+Ele!G175+Wat!G175+San!G175+Ref!G175+Mayor!G175+CFO!G175+MB!G175+Infra!G175</f>
        <v>0</v>
      </c>
      <c r="H175" s="66" t="s">
        <v>3495</v>
      </c>
      <c r="I175" s="66"/>
    </row>
    <row r="176" spans="1:9" x14ac:dyDescent="0.35">
      <c r="A176" s="66" t="s">
        <v>2882</v>
      </c>
      <c r="B176" s="89">
        <f>+Cs!B176+Fin!B176+Rat!B176+MM!B176+Lib!B176+Pry!B176+Hal!B176+Cem!B176+Par!B176+EDv!C151+Str!B176+Ele!B176+Wat!B176+San!B176+Ref!B176+Mayor!B176+CFO!B176+MB!B176+Infra!B176</f>
        <v>24000</v>
      </c>
      <c r="C176" s="89">
        <f>+Cs!C176+Fin!C176+Rat!C176+MM!C176+Lib!C176+Pry!C176+Hal!C176+Cem!C176+Par!C176+EDv!D151+Str!C176+Ele!C176+Wat!C176+San!C176+Ref!C176+Mayor!C176+CFO!C176+MB!C176+Infra!C176</f>
        <v>0</v>
      </c>
      <c r="D176" s="89">
        <f>+Cs!D176+Fin!D176+Rat!D176+MM!D176+Lib!D176+Pry!D176+Hal!D176+Cem!D176+Par!D176+EDv!E151+Str!D176+Ele!D176+Wat!D176+San!D176+Ref!D176+Mayor!D176+CFO!D176+MB!D176+Infra!D176</f>
        <v>0</v>
      </c>
      <c r="E176" s="235">
        <f>+Cs!E176+Fin!E176+Rat!E176+MM!E176+Lib!E176+Pry!E176+Hal!E176+Cem!E176+Par!E176+EDv!F151+Str!E176+Ele!E176+Wat!E176+San!E176+Ref!E176+Mayor!E176+CFO!E176+MB!E176+Infra!E176</f>
        <v>0</v>
      </c>
      <c r="F176" s="235">
        <f>+Cs!F176+Fin!F176+Rat!F176+MM!F176+Lib!F176+Pry!F176+Hal!F176+Cem!F176+Par!F176+EDv!G151+Str!F176+Ele!F176+Wat!F176+San!F176+Ref!F176+Mayor!F176+CFO!F176+MB!F176+Infra!F176</f>
        <v>0</v>
      </c>
      <c r="G176" s="235">
        <f>+Cs!G176+Fin!G176+Rat!G176+MM!G176+Lib!G176+Pry!G176+Hal!G176+Cem!G176+Par!G176+EDv!H151+Str!G176+Ele!G176+Wat!G176+San!G176+Ref!G176+Mayor!G176+CFO!G176+MB!G176+Infra!G176</f>
        <v>0</v>
      </c>
      <c r="H176" s="66" t="s">
        <v>3495</v>
      </c>
      <c r="I176" s="66"/>
    </row>
    <row r="177" spans="1:9" x14ac:dyDescent="0.35">
      <c r="A177" s="66" t="s">
        <v>3423</v>
      </c>
      <c r="B177" s="89">
        <f>+Cs!B177+Fin!B177+Rat!B177+MM!B177+Lib!B177+Pry!B177+Hal!B177+Cem!B177+Par!B177+EDv!C152+Str!B177+Ele!B177+Wat!B177+San!B177+Ref!B177+Mayor!B177+CFO!B177+MB!B177+Infra!B177</f>
        <v>6000</v>
      </c>
      <c r="C177" s="89">
        <f>+Cs!C177+Fin!C177+Rat!C177+MM!C177+Lib!C177+Pry!C177+Hal!C177+Cem!C177+Par!C177+EDv!D152+Str!C177+Ele!C177+Wat!C177+San!C177+Ref!C177+Mayor!C177+CFO!C177+MB!C177+Infra!C177</f>
        <v>0</v>
      </c>
      <c r="D177" s="89">
        <f>+Cs!D177+Fin!D177+Rat!D177+MM!D177+Lib!D177+Pry!D177+Hal!D177+Cem!D177+Par!D177+EDv!E152+Str!D177+Ele!D177+Wat!D177+San!D177+Ref!D177+Mayor!D177+CFO!D177+MB!D177+Infra!D177</f>
        <v>0</v>
      </c>
      <c r="E177" s="235">
        <f>+Cs!E177+Fin!E177+Rat!E177+MM!E177+Lib!E177+Pry!E177+Hal!E177+Cem!E177+Par!E177+EDv!F152+Str!E177+Ele!E177+Wat!E177+San!E177+Ref!E177+Mayor!E177+CFO!E177+MB!E177+Infra!E177</f>
        <v>0</v>
      </c>
      <c r="F177" s="235">
        <f>+Cs!F177+Fin!F177+Rat!F177+MM!F177+Lib!F177+Pry!F177+Hal!F177+Cem!F177+Par!F177+EDv!G152+Str!F177+Ele!F177+Wat!F177+San!F177+Ref!F177+Mayor!F177+CFO!F177+MB!F177+Infra!F177</f>
        <v>0</v>
      </c>
      <c r="G177" s="235">
        <f>+Cs!G177+Fin!G177+Rat!G177+MM!G177+Lib!G177+Pry!G177+Hal!G177+Cem!G177+Par!G177+EDv!H152+Str!G177+Ele!G177+Wat!G177+San!G177+Ref!G177+Mayor!G177+CFO!G177+MB!G177+Infra!G177</f>
        <v>0</v>
      </c>
      <c r="H177" s="66" t="s">
        <v>3495</v>
      </c>
      <c r="I177" s="66"/>
    </row>
    <row r="178" spans="1:9" x14ac:dyDescent="0.35">
      <c r="A178" s="66" t="s">
        <v>2880</v>
      </c>
      <c r="B178" s="89">
        <f>+Cs!B178+Fin!B178+Rat!B178+MM!B178+Lib!B178+Pry!B178+Hal!B178+Cem!B178+Par!B178+EDv!C153+Str!B178+Ele!B178+Wat!B178+San!B178+Ref!B178+Mayor!B178+CFO!B178+MB!B178+Infra!B178</f>
        <v>20000</v>
      </c>
      <c r="C178" s="89">
        <f>+Cs!C178+Fin!C178+Rat!C178+MM!C178+Lib!C178+Pry!C178+Hal!C178+Cem!C178+Par!C178+EDv!D153+Str!C178+Ele!C178+Wat!C178+San!C178+Ref!C178+Mayor!C178+CFO!C178+MB!C178+Infra!C178</f>
        <v>0</v>
      </c>
      <c r="D178" s="89">
        <f>+Cs!D178+Fin!D178+Rat!D178+MM!D178+Lib!D178+Pry!D178+Hal!D178+Cem!D178+Par!D178+EDv!E153+Str!D178+Ele!D178+Wat!D178+San!D178+Ref!D178+Mayor!D178+CFO!D178+MB!D178+Infra!D178</f>
        <v>0</v>
      </c>
      <c r="E178" s="235">
        <f>+Cs!E178+Fin!E178+Rat!E178+MM!E178+Lib!E178+Pry!E178+Hal!E178+Cem!E178+Par!E178+EDv!F153+Str!E178+Ele!E178+Wat!E178+San!E178+Ref!E178+Mayor!E178+CFO!E178+MB!E178+Infra!E178</f>
        <v>0</v>
      </c>
      <c r="F178" s="235">
        <f>+Cs!F178+Fin!F178+Rat!F178+MM!F178+Lib!F178+Pry!F178+Hal!F178+Cem!F178+Par!F178+EDv!G153+Str!F178+Ele!F178+Wat!F178+San!F178+Ref!F178+Mayor!F178+CFO!F178+MB!F178+Infra!F178</f>
        <v>0</v>
      </c>
      <c r="G178" s="235">
        <f>+Cs!G178+Fin!G178+Rat!G178+MM!G178+Lib!G178+Pry!G178+Hal!G178+Cem!G178+Par!G178+EDv!H153+Str!G178+Ele!G178+Wat!G178+San!G178+Ref!G178+Mayor!G178+CFO!G178+MB!G178+Infra!G178</f>
        <v>0</v>
      </c>
      <c r="H178" s="66" t="s">
        <v>3495</v>
      </c>
      <c r="I178" s="66"/>
    </row>
    <row r="179" spans="1:9" x14ac:dyDescent="0.35">
      <c r="A179" s="66" t="s">
        <v>2883</v>
      </c>
      <c r="B179" s="89">
        <f>+Cs!B179+Fin!B179+Rat!B179+MM!B179+Lib!B179+Pry!B179+Hal!B179+Cem!B179+Par!B179+EDv!C154+Str!B179+Ele!B179+Wat!B179+San!B179+Ref!B179+Mayor!B179+CFO!B179+MB!B179+Infra!B179</f>
        <v>20000</v>
      </c>
      <c r="C179" s="89">
        <f>+Cs!C179+Fin!C179+Rat!C179+MM!C179+Lib!C179+Pry!C179+Hal!C179+Cem!C179+Par!C179+EDv!D154+Str!C179+Ele!C179+Wat!C179+San!C179+Ref!C179+Mayor!C179+CFO!C179+MB!C179+Infra!C179</f>
        <v>0</v>
      </c>
      <c r="D179" s="89">
        <f>+Cs!D179+Fin!D179+Rat!D179+MM!D179+Lib!D179+Pry!D179+Hal!D179+Cem!D179+Par!D179+EDv!E154+Str!D179+Ele!D179+Wat!D179+San!D179+Ref!D179+Mayor!D179+CFO!D179+MB!D179+Infra!D179</f>
        <v>0</v>
      </c>
      <c r="E179" s="235">
        <f>+Cs!E179+Fin!E179+Rat!E179+MM!E179+Lib!E179+Pry!E179+Hal!E179+Cem!E179+Par!E179+EDv!F154+Str!E179+Ele!E179+Wat!E179+San!E179+Ref!E179+Mayor!E179+CFO!E179+MB!E179+Infra!E179</f>
        <v>0</v>
      </c>
      <c r="F179" s="235">
        <f>+Cs!F179+Fin!F179+Rat!F179+MM!F179+Lib!F179+Pry!F179+Hal!F179+Cem!F179+Par!F179+EDv!G154+Str!F179+Ele!F179+Wat!F179+San!F179+Ref!F179+Mayor!F179+CFO!F179+MB!F179+Infra!F179</f>
        <v>0</v>
      </c>
      <c r="G179" s="235">
        <f>+Cs!G179+Fin!G179+Rat!G179+MM!G179+Lib!G179+Pry!G179+Hal!G179+Cem!G179+Par!G179+EDv!H154+Str!G179+Ele!G179+Wat!G179+San!G179+Ref!G179+Mayor!G179+CFO!G179+MB!G179+Infra!G179</f>
        <v>0</v>
      </c>
      <c r="H179" s="66" t="s">
        <v>3495</v>
      </c>
      <c r="I179" s="66"/>
    </row>
    <row r="180" spans="1:9" x14ac:dyDescent="0.35">
      <c r="A180" s="66" t="s">
        <v>2878</v>
      </c>
      <c r="B180" s="89">
        <f>+Cs!B180+Fin!B180+Rat!B180+MM!B180+Lib!B180+Pry!B180+Hal!B180+Cem!B180+Par!B180+EDv!C155+Str!B180+Ele!B180+Wat!B180+San!B180+Ref!B180+Mayor!B180+CFO!B180+MB!B180+Infra!B180</f>
        <v>20000</v>
      </c>
      <c r="C180" s="89">
        <f>+Cs!C180+Fin!C180+Rat!C180+MM!C180+Lib!C180+Pry!C180+Hal!C180+Cem!C180+Par!C180+EDv!D155+Str!C180+Ele!C180+Wat!C180+San!C180+Ref!C180+Mayor!C180+CFO!C180+MB!C180+Infra!C180</f>
        <v>0</v>
      </c>
      <c r="D180" s="89">
        <f>+Cs!D180+Fin!D180+Rat!D180+MM!D180+Lib!D180+Pry!D180+Hal!D180+Cem!D180+Par!D180+EDv!E155+Str!D180+Ele!D180+Wat!D180+San!D180+Ref!D180+Mayor!D180+CFO!D180+MB!D180+Infra!D180</f>
        <v>0</v>
      </c>
      <c r="E180" s="235">
        <f>+Cs!E180+Fin!E180+Rat!E180+MM!E180+Lib!E180+Pry!E180+Hal!E180+Cem!E180+Par!E180+EDv!F155+Str!E180+Ele!E180+Wat!E180+San!E180+Ref!E180+Mayor!E180+CFO!E180+MB!E180+Infra!E180</f>
        <v>0</v>
      </c>
      <c r="F180" s="235">
        <f>+Cs!F180+Fin!F180+Rat!F180+MM!F180+Lib!F180+Pry!F180+Hal!F180+Cem!F180+Par!F180+EDv!G155+Str!F180+Ele!F180+Wat!F180+San!F180+Ref!F180+Mayor!F180+CFO!F180+MB!F180+Infra!F180</f>
        <v>0</v>
      </c>
      <c r="G180" s="235">
        <f>+Cs!G180+Fin!G180+Rat!G180+MM!G180+Lib!G180+Pry!G180+Hal!G180+Cem!G180+Par!G180+EDv!H155+Str!G180+Ele!G180+Wat!G180+San!G180+Ref!G180+Mayor!G180+CFO!G180+MB!G180+Infra!G180</f>
        <v>0</v>
      </c>
      <c r="H180" s="66" t="s">
        <v>3495</v>
      </c>
      <c r="I180" s="66"/>
    </row>
    <row r="181" spans="1:9" x14ac:dyDescent="0.35">
      <c r="A181" s="66" t="s">
        <v>3014</v>
      </c>
      <c r="B181" s="89">
        <f>+Cs!B181+Fin!B181+Rat!B181+MM!B181+Lib!B181+Pry!B181+Hal!B181+Cem!B181+Par!B181+EDv!C156+Str!B181+Ele!B181+Wat!B181+San!B181+Ref!B181+Mayor!B181+CFO!B181+MB!B181+Infra!B181</f>
        <v>413000</v>
      </c>
      <c r="C181" s="89">
        <f>+Cs!C181+Fin!C181+Rat!C181+MM!C181+Lib!C181+Pry!C181+Hal!C181+Cem!C181+Par!C181+EDv!D156+Str!C181+Ele!C181+Wat!C181+San!C181+Ref!C181+Mayor!C181+CFO!C181+MB!C181+Infra!C181</f>
        <v>413000</v>
      </c>
      <c r="D181" s="89">
        <f>+Cs!D181+Fin!D181+Rat!D181+MM!D181+Lib!D181+Pry!D181+Hal!D181+Cem!D181+Par!D181+EDv!E156+Str!D181+Ele!D181+Wat!D181+San!D181+Ref!D181+Mayor!D181+CFO!D181+MB!D181+Infra!D181</f>
        <v>398512.22</v>
      </c>
      <c r="E181" s="235">
        <f>+Cs!E181+Fin!E181+Rat!E181+MM!E181+Lib!E181+Pry!E181+Hal!E181+Cem!E181+Par!E181+EDv!F156+Str!E181+Ele!E181+Wat!E181+San!E181+Ref!E181+Mayor!E181+CFO!E181+MB!E181+Infra!E181</f>
        <v>420000</v>
      </c>
      <c r="F181" s="235">
        <f>+Cs!F181+Fin!F181+Rat!F181+MM!F181+Lib!F181+Pry!F181+Hal!F181+Cem!F181+Par!F181+EDv!G156+Str!F181+Ele!F181+Wat!F181+San!F181+Ref!F181+Mayor!F181+CFO!F181+MB!F181+Infra!F181</f>
        <v>440000</v>
      </c>
      <c r="G181" s="235">
        <f>+Cs!G181+Fin!G181+Rat!G181+MM!G181+Lib!G181+Pry!G181+Hal!G181+Cem!G181+Par!G181+EDv!H156+Str!G181+Ele!G181+Wat!G181+San!G181+Ref!G181+Mayor!G181+CFO!G181+MB!G181+Infra!G181</f>
        <v>460000</v>
      </c>
      <c r="H181" s="66" t="s">
        <v>2729</v>
      </c>
      <c r="I181" s="66"/>
    </row>
    <row r="182" spans="1:9" x14ac:dyDescent="0.35">
      <c r="A182" s="66" t="s">
        <v>2961</v>
      </c>
      <c r="B182" s="89">
        <f>+Cs!B182+Fin!B182+Rat!B182+MM!B182+Lib!B182+Pry!B182+Hal!B182+Cem!B182+Par!B182+EDv!C157+Str!B182+Ele!B182+Wat!B182+San!B182+Ref!B182+Mayor!B182+CFO!B182+MB!B182+Infra!B182</f>
        <v>444200</v>
      </c>
      <c r="C182" s="89">
        <f>+Cs!C182+Fin!C182+Rat!C182+MM!C182+Lib!C182+Pry!C182+Hal!C182+Cem!C182+Par!C182+EDv!D157+Str!C182+Ele!C182+Wat!C182+San!C182+Ref!C182+Mayor!C182+CFO!C182+MB!C182+Infra!C182</f>
        <v>444200</v>
      </c>
      <c r="D182" s="89">
        <f>+Cs!D182+Fin!D182+Rat!D182+MM!D182+Lib!D182+Pry!D182+Hal!D182+Cem!D182+Par!D182+EDv!E157+Str!D182+Ele!D182+Wat!D182+San!D182+Ref!D182+Mayor!D182+CFO!D182+MB!D182+Infra!D182</f>
        <v>718952.03</v>
      </c>
      <c r="E182" s="235">
        <f>+Cs!E182+Fin!E182+Rat!E182+MM!E182+Lib!E182+Pry!E182+Hal!E182+Cem!E182+Par!E182+EDv!F157+Str!E182+Ele!E182+Wat!E182+San!E182+Ref!E182+Mayor!E182+CFO!E182+MB!E182+Infra!E182</f>
        <v>965000</v>
      </c>
      <c r="F182" s="235">
        <f>+Cs!F182+Fin!F182+Rat!F182+MM!F182+Lib!F182+Pry!F182+Hal!F182+Cem!F182+Par!F182+EDv!G157+Str!F182+Ele!F182+Wat!F182+San!F182+Ref!F182+Mayor!F182+CFO!F182+MB!F182+Infra!F182</f>
        <v>1009400</v>
      </c>
      <c r="G182" s="235">
        <f>+Cs!G182+Fin!G182+Rat!G182+MM!G182+Lib!G182+Pry!G182+Hal!G182+Cem!G182+Par!G182+EDv!H157+Str!G182+Ele!G182+Wat!G182+San!G182+Ref!G182+Mayor!G182+CFO!G182+MB!G182+Infra!G182</f>
        <v>1055900</v>
      </c>
      <c r="H182" s="66" t="s">
        <v>2722</v>
      </c>
      <c r="I182" s="66"/>
    </row>
    <row r="183" spans="1:9" x14ac:dyDescent="0.35">
      <c r="A183" s="66" t="s">
        <v>2901</v>
      </c>
      <c r="B183" s="89">
        <f>+Cs!B183+Fin!B183+Rat!B183+MM!B183+Lib!B183+Pry!B183+Hal!B183+Cem!B183+Par!B183+EDv!C158+Str!B183+Ele!B183+Wat!B183+San!B183+Ref!B183+Mayor!B183+CFO!B183+MB!B183+Infra!B183</f>
        <v>10300</v>
      </c>
      <c r="C183" s="89">
        <f>+Cs!C183+Fin!C183+Rat!C183+MM!C183+Lib!C183+Pry!C183+Hal!C183+Cem!C183+Par!C183+EDv!D158+Str!C183+Ele!C183+Wat!C183+San!C183+Ref!C183+Mayor!C183+CFO!C183+MB!C183+Infra!C183</f>
        <v>10300</v>
      </c>
      <c r="D183" s="89">
        <f>+Cs!D183+Fin!D183+Rat!D183+MM!D183+Lib!D183+Pry!D183+Hal!D183+Cem!D183+Par!D183+EDv!E158+Str!D183+Ele!D183+Wat!D183+San!D183+Ref!D183+Mayor!D183+CFO!D183+MB!D183+Infra!D183</f>
        <v>10217.700000000001</v>
      </c>
      <c r="E183" s="239">
        <f>+Cs!E183+Fin!E183+Rat!E183+MM!E183+Lib!E183+Pry!E183+Hal!E183+Cem!E183+Par!E183+EDv!F158+Str!E183+Ele!E183+Wat!E183+San!E183+Ref!E183+Mayor!E183+CFO!E183+MB!E183+Infra!E183</f>
        <v>12600</v>
      </c>
      <c r="F183" s="239">
        <f>+Cs!F183+Fin!F183+Rat!F183+MM!F183+Lib!F183+Pry!F183+Hal!F183+Cem!F183+Par!F183+EDv!G158+Str!F183+Ele!F183+Wat!F183+San!F183+Ref!F183+Mayor!F183+CFO!F183+MB!F183+Infra!F183</f>
        <v>13700</v>
      </c>
      <c r="G183" s="239">
        <f>+Cs!G183+Fin!G183+Rat!G183+MM!G183+Lib!G183+Pry!G183+Hal!G183+Cem!G183+Par!G183+EDv!H158+Str!G183+Ele!G183+Wat!G183+San!G183+Ref!G183+Mayor!G183+CFO!G183+MB!G183+Infra!G183</f>
        <v>14600</v>
      </c>
      <c r="H183" s="66" t="s">
        <v>2721</v>
      </c>
      <c r="I183" s="66" t="s">
        <v>3475</v>
      </c>
    </row>
    <row r="184" spans="1:9" x14ac:dyDescent="0.35">
      <c r="A184" s="66" t="s">
        <v>2902</v>
      </c>
      <c r="B184" s="89">
        <f>+Cs!B184+Fin!B184+Rat!B184+MM!B184+Lib!B184+Pry!B184+Hal!B184+Cem!B184+Par!B184+EDv!C159+Str!B184+Ele!B184+Wat!B184+San!B184+Ref!B184+Mayor!B184+CFO!B184+MB!B184+Infra!B184</f>
        <v>1949100</v>
      </c>
      <c r="C184" s="89">
        <f>+Cs!C184+Fin!C184+Rat!C184+MM!C184+Lib!C184+Pry!C184+Hal!C184+Cem!C184+Par!C184+EDv!D159+Str!C184+Ele!C184+Wat!C184+San!C184+Ref!C184+Mayor!C184+CFO!C184+MB!C184+Infra!C184</f>
        <v>1949100</v>
      </c>
      <c r="D184" s="89">
        <f>+Cs!D184+Fin!D184+Rat!D184+MM!D184+Lib!D184+Pry!D184+Hal!D184+Cem!D184+Par!D184+EDv!E159+Str!D184+Ele!D184+Wat!D184+San!D184+Ref!D184+Mayor!D184+CFO!D184+MB!D184+Infra!D184</f>
        <v>1749260.48</v>
      </c>
      <c r="E184" s="239">
        <f>+Cs!E184+Fin!E184+Rat!E184+MM!E184+Lib!E184+Pry!E184+Hal!E184+Cem!E184+Par!E184+EDv!F159+Str!E184+Ele!E184+Wat!E184+San!E184+Ref!E184+Mayor!E184+CFO!E184+MB!E184+Infra!E184</f>
        <v>1924700</v>
      </c>
      <c r="F184" s="239">
        <f>+Cs!F184+Fin!F184+Rat!F184+MM!F184+Lib!F184+Pry!F184+Hal!F184+Cem!F184+Par!F184+EDv!G159+Str!F184+Ele!F184+Wat!F184+San!F184+Ref!F184+Mayor!F184+CFO!F184+MB!F184+Infra!F184</f>
        <v>2039800</v>
      </c>
      <c r="G184" s="239">
        <f>+Cs!G184+Fin!G184+Rat!G184+MM!G184+Lib!G184+Pry!G184+Hal!G184+Cem!G184+Par!G184+EDv!H159+Str!G184+Ele!G184+Wat!G184+San!G184+Ref!G184+Mayor!G184+CFO!G184+MB!G184+Infra!G184</f>
        <v>2162000</v>
      </c>
      <c r="H184" s="66" t="s">
        <v>2721</v>
      </c>
      <c r="I184" s="66" t="s">
        <v>3474</v>
      </c>
    </row>
    <row r="185" spans="1:9" x14ac:dyDescent="0.35">
      <c r="A185" s="66" t="s">
        <v>2903</v>
      </c>
      <c r="B185" s="89">
        <f>+Cs!B185+Fin!B185+Rat!B185+MM!B185+Lib!B185+Pry!B185+Hal!B185+Cem!B185+Par!B185+EDv!C160+Str!B185+Ele!B185+Wat!B185+San!B185+Ref!B185+Mayor!B185+CFO!B185+MB!B185+Infra!B185</f>
        <v>60600</v>
      </c>
      <c r="C185" s="89">
        <f>+Cs!C185+Fin!C185+Rat!C185+MM!C185+Lib!C185+Pry!C185+Hal!C185+Cem!C185+Par!C185+EDv!D160+Str!C185+Ele!C185+Wat!C185+San!C185+Ref!C185+Mayor!C185+CFO!C185+MB!C185+Infra!C185</f>
        <v>60600</v>
      </c>
      <c r="D185" s="89">
        <f>+Cs!D185+Fin!D185+Rat!D185+MM!D185+Lib!D185+Pry!D185+Hal!D185+Cem!D185+Par!D185+EDv!E160+Str!D185+Ele!D185+Wat!D185+San!D185+Ref!D185+Mayor!D185+CFO!D185+MB!D185+Infra!D185</f>
        <v>50400</v>
      </c>
      <c r="E185" s="239">
        <f>+Cs!E185+Fin!E185+Rat!E185+MM!E185+Lib!E185+Pry!E185+Hal!E185+Cem!E185+Par!E185+EDv!F160+Str!E185+Ele!E185+Wat!E185+San!E185+Ref!E185+Mayor!E185+CFO!E185+MB!E185+Infra!E185</f>
        <v>86400</v>
      </c>
      <c r="F185" s="239">
        <f>+Cs!F185+Fin!F185+Rat!F185+MM!F185+Lib!F185+Pry!F185+Hal!F185+Cem!F185+Par!F185+EDv!G160+Str!F185+Ele!F185+Wat!F185+San!F185+Ref!F185+Mayor!F185+CFO!F185+MB!F185+Infra!F185</f>
        <v>86400</v>
      </c>
      <c r="G185" s="239">
        <f>+Cs!G185+Fin!G185+Rat!G185+MM!G185+Lib!G185+Pry!G185+Hal!G185+Cem!G185+Par!G185+EDv!H160+Str!G185+Ele!G185+Wat!G185+San!G185+Ref!G185+Mayor!G185+CFO!G185+MB!G185+Infra!G185</f>
        <v>86400</v>
      </c>
      <c r="H185" s="66" t="s">
        <v>2721</v>
      </c>
      <c r="I185" s="66" t="s">
        <v>3474</v>
      </c>
    </row>
    <row r="186" spans="1:9" x14ac:dyDescent="0.35">
      <c r="A186" s="66" t="s">
        <v>2900</v>
      </c>
      <c r="B186" s="89">
        <f>+Cs!B186+Fin!B186+Rat!B186+MM!B186+Lib!B186+Pry!B186+Hal!B186+Cem!B186+Par!B186+EDv!C161+Str!B186+Ele!B186+Wat!B186+San!B186+Ref!B186+Mayor!B186+CFO!B186+MB!B186+Infra!B186</f>
        <v>97900</v>
      </c>
      <c r="C186" s="89">
        <f>+Cs!C186+Fin!C186+Rat!C186+MM!C186+Lib!C186+Pry!C186+Hal!C186+Cem!C186+Par!C186+EDv!D161+Str!C186+Ele!C186+Wat!C186+San!C186+Ref!C186+Mayor!C186+CFO!C186+MB!C186+Infra!C186</f>
        <v>97900</v>
      </c>
      <c r="D186" s="89">
        <f>+Cs!D186+Fin!D186+Rat!D186+MM!D186+Lib!D186+Pry!D186+Hal!D186+Cem!D186+Par!D186+EDv!E161+Str!D186+Ele!D186+Wat!D186+San!D186+Ref!D186+Mayor!D186+CFO!D186+MB!D186+Infra!D186</f>
        <v>159133.79</v>
      </c>
      <c r="E186" s="239">
        <f>+Cs!E186+Fin!E186+Rat!E186+MM!E186+Lib!E186+Pry!E186+Hal!E186+Cem!E186+Par!E186+EDv!F161+Str!E186+Ele!E186+Wat!E186+San!E186+Ref!E186+Mayor!E186+CFO!E186+MB!E186+Infra!E186</f>
        <v>170700</v>
      </c>
      <c r="F186" s="239">
        <f>+Cs!F186+Fin!F186+Rat!F186+MM!F186+Lib!F186+Pry!F186+Hal!F186+Cem!F186+Par!F186+EDv!G161+Str!F186+Ele!F186+Wat!F186+San!F186+Ref!F186+Mayor!F186+CFO!F186+MB!F186+Infra!F186</f>
        <v>182100</v>
      </c>
      <c r="G186" s="239">
        <f>+Cs!G186+Fin!G186+Rat!G186+MM!G186+Lib!G186+Pry!G186+Hal!G186+Cem!G186+Par!G186+EDv!H161+Str!G186+Ele!G186+Wat!G186+San!G186+Ref!G186+Mayor!G186+CFO!G186+MB!G186+Infra!G186</f>
        <v>194400</v>
      </c>
      <c r="H186" s="66" t="s">
        <v>2721</v>
      </c>
      <c r="I186" s="66" t="s">
        <v>3474</v>
      </c>
    </row>
    <row r="187" spans="1:9" x14ac:dyDescent="0.35">
      <c r="A187" s="66" t="s">
        <v>3398</v>
      </c>
      <c r="B187" s="89">
        <f>+Cs!B187+Fin!B187+Rat!B187+MM!B187+Lib!B187+Pry!B187+Hal!B187+Cem!B187+Par!B187+EDv!C162+Str!B187+Ele!B187+Wat!B187+San!B187+Ref!B187+Mayor!B187+CFO!B187+MB!B187+Infra!B187</f>
        <v>91000</v>
      </c>
      <c r="C187" s="89">
        <f>+Cs!C187+Fin!C187+Rat!C187+MM!C187+Lib!C187+Pry!C187+Hal!C187+Cem!C187+Par!C187+EDv!D162+Str!C187+Ele!C187+Wat!C187+San!C187+Ref!C187+Mayor!C187+CFO!C187+MB!C187+Infra!C187</f>
        <v>91000</v>
      </c>
      <c r="D187" s="89">
        <f>+Cs!D187+Fin!D187+Rat!D187+MM!D187+Lib!D187+Pry!D187+Hal!D187+Cem!D187+Par!D187+EDv!E162+Str!D187+Ele!D187+Wat!D187+San!D187+Ref!D187+Mayor!D187+CFO!D187+MB!D187+Infra!D187</f>
        <v>35129.96</v>
      </c>
      <c r="E187" s="239">
        <f>+Cs!E187+Fin!E187+Rat!E187+MM!E187+Lib!E187+Pry!E187+Hal!E187+Cem!E187+Par!E187+EDv!F162+Str!E187+Ele!E187+Wat!E187+San!E187+Ref!E187+Mayor!E187+CFO!E187+MB!E187+Infra!E187</f>
        <v>91000</v>
      </c>
      <c r="F187" s="239">
        <f>+Cs!F187+Fin!F187+Rat!F187+MM!F187+Lib!F187+Pry!F187+Hal!F187+Cem!F187+Par!F187+EDv!G162+Str!F187+Ele!F187+Wat!F187+San!F187+Ref!F187+Mayor!F187+CFO!F187+MB!F187+Infra!F187</f>
        <v>96000</v>
      </c>
      <c r="G187" s="239">
        <f>+Cs!G187+Fin!G187+Rat!G187+MM!G187+Lib!G187+Pry!G187+Hal!G187+Cem!G187+Par!G187+EDv!H162+Str!G187+Ele!G187+Wat!G187+San!G187+Ref!G187+Mayor!G187+CFO!G187+MB!G187+Infra!G187</f>
        <v>101300</v>
      </c>
      <c r="H187" s="66" t="s">
        <v>2721</v>
      </c>
      <c r="I187" s="66" t="s">
        <v>3474</v>
      </c>
    </row>
    <row r="188" spans="1:9" x14ac:dyDescent="0.35">
      <c r="A188" s="66" t="s">
        <v>3399</v>
      </c>
      <c r="B188" s="89">
        <f>+Cs!B188+Fin!B188+Rat!B188+MM!B188+Lib!B188+Pry!B188+Hal!B188+Cem!B188+Par!B188+EDv!C163+Str!B188+Ele!B188+Wat!B188+San!B188+Ref!B188+Mayor!B188+CFO!B188+MB!B188+Infra!B188</f>
        <v>138000</v>
      </c>
      <c r="C188" s="89">
        <f>+Cs!C188+Fin!C188+Rat!C188+MM!C188+Lib!C188+Pry!C188+Hal!C188+Cem!C188+Par!C188+EDv!D163+Str!C188+Ele!C188+Wat!C188+San!C188+Ref!C188+Mayor!C188+CFO!C188+MB!C188+Infra!C188</f>
        <v>138000</v>
      </c>
      <c r="D188" s="89">
        <f>+Cs!D188+Fin!D188+Rat!D188+MM!D188+Lib!D188+Pry!D188+Hal!D188+Cem!D188+Par!D188+EDv!E163+Str!D188+Ele!D188+Wat!D188+San!D188+Ref!D188+Mayor!D188+CFO!D188+MB!D188+Infra!D188</f>
        <v>126518.92</v>
      </c>
      <c r="E188" s="239">
        <f>+Cs!E188+Fin!E188+Rat!E188+MM!E188+Lib!E188+Pry!E188+Hal!E188+Cem!E188+Par!E188+EDv!F163+Str!E188+Ele!E188+Wat!E188+San!E188+Ref!E188+Mayor!E188+CFO!E188+MB!E188+Infra!E188</f>
        <v>138000</v>
      </c>
      <c r="F188" s="239">
        <f>+Cs!F188+Fin!F188+Rat!F188+MM!F188+Lib!F188+Pry!F188+Hal!F188+Cem!F188+Par!F188+EDv!G163+Str!F188+Ele!F188+Wat!F188+San!F188+Ref!F188+Mayor!F188+CFO!F188+MB!F188+Infra!F188</f>
        <v>145400</v>
      </c>
      <c r="G188" s="239">
        <f>+Cs!G188+Fin!G188+Rat!G188+MM!G188+Lib!G188+Pry!G188+Hal!G188+Cem!G188+Par!G188+EDv!H163+Str!G188+Ele!G188+Wat!G188+San!G188+Ref!G188+Mayor!G188+CFO!G188+MB!G188+Infra!G188</f>
        <v>153300</v>
      </c>
      <c r="H188" s="66" t="s">
        <v>2721</v>
      </c>
      <c r="I188" s="66" t="s">
        <v>3474</v>
      </c>
    </row>
    <row r="189" spans="1:9" x14ac:dyDescent="0.35">
      <c r="A189" s="66" t="s">
        <v>2984</v>
      </c>
      <c r="B189" s="89">
        <f>+Cs!B189+Fin!B189+Rat!B189+MM!B189+Lib!B189+Pry!B189+Hal!B189+Cem!B189+Par!B189+EDv!C164+Str!B189+Ele!B189+Wat!B189+San!B189+Ref!B189+Mayor!B189+CFO!B189+MB!B189+Infra!B189</f>
        <v>41800</v>
      </c>
      <c r="C189" s="89">
        <f>+Cs!C189+Fin!C189+Rat!C189+MM!C189+Lib!C189+Pry!C189+Hal!C189+Cem!C189+Par!C189+EDv!D164+Str!C189+Ele!C189+Wat!C189+San!C189+Ref!C189+Mayor!C189+CFO!C189+MB!C189+Infra!C189</f>
        <v>41800</v>
      </c>
      <c r="D189" s="89">
        <f>+Cs!D189+Fin!D189+Rat!D189+MM!D189+Lib!D189+Pry!D189+Hal!D189+Cem!D189+Par!D189+EDv!E164+Str!D189+Ele!D189+Wat!D189+San!D189+Ref!D189+Mayor!D189+CFO!D189+MB!D189+Infra!D189</f>
        <v>39032.54</v>
      </c>
      <c r="E189" s="239">
        <f>+Cs!E189+Fin!E189+Rat!E189+MM!E189+Lib!E189+Pry!E189+Hal!E189+Cem!E189+Par!E189+EDv!F164+Str!E189+Ele!E189+Wat!E189+San!E189+Ref!E189+Mayor!E189+CFO!E189+MB!E189+Infra!E189</f>
        <v>41900</v>
      </c>
      <c r="F189" s="239">
        <f>+Cs!F189+Fin!F189+Rat!F189+MM!F189+Lib!F189+Pry!F189+Hal!F189+Cem!F189+Par!F189+EDv!G164+Str!F189+Ele!F189+Wat!F189+San!F189+Ref!F189+Mayor!F189+CFO!F189+MB!F189+Infra!F189</f>
        <v>44700</v>
      </c>
      <c r="G189" s="239">
        <f>+Cs!G189+Fin!G189+Rat!G189+MM!G189+Lib!G189+Pry!G189+Hal!G189+Cem!G189+Par!G189+EDv!H164+Str!G189+Ele!G189+Wat!G189+San!G189+Ref!G189+Mayor!G189+CFO!G189+MB!G189+Infra!G189</f>
        <v>47600</v>
      </c>
      <c r="H189" s="66" t="s">
        <v>2721</v>
      </c>
      <c r="I189" s="66" t="s">
        <v>3475</v>
      </c>
    </row>
    <row r="190" spans="1:9" x14ac:dyDescent="0.35">
      <c r="A190" s="66" t="s">
        <v>2904</v>
      </c>
      <c r="B190" s="89">
        <f>+Cs!B190+Fin!B190+Rat!B190+MM!B190+Lib!B190+Pry!B190+Hal!B190+Cem!B190+Par!B190+EDv!C165+Str!B190+Ele!B190+Wat!B190+San!B190+Ref!B190+Mayor!B190+CFO!B190+MB!B190+Infra!B190</f>
        <v>236700</v>
      </c>
      <c r="C190" s="89">
        <f>+Cs!C190+Fin!C190+Rat!C190+MM!C190+Lib!C190+Pry!C190+Hal!C190+Cem!C190+Par!C190+EDv!D165+Str!C190+Ele!C190+Wat!C190+San!C190+Ref!C190+Mayor!C190+CFO!C190+MB!C190+Infra!C190</f>
        <v>236700</v>
      </c>
      <c r="D190" s="89">
        <f>+Cs!D190+Fin!D190+Rat!D190+MM!D190+Lib!D190+Pry!D190+Hal!D190+Cem!D190+Par!D190+EDv!E165+Str!D190+Ele!D190+Wat!D190+San!D190+Ref!D190+Mayor!D190+CFO!D190+MB!D190+Infra!D190</f>
        <v>223314.38</v>
      </c>
      <c r="E190" s="239">
        <f>+Cs!E190+Fin!E190+Rat!E190+MM!E190+Lib!E190+Pry!E190+Hal!E190+Cem!E190+Par!E190+EDv!F165+Str!E190+Ele!E190+Wat!E190+San!E190+Ref!E190+Mayor!E190+CFO!E190+MB!E190+Infra!E190</f>
        <v>243700</v>
      </c>
      <c r="F190" s="239">
        <f>+Cs!F190+Fin!F190+Rat!F190+MM!F190+Lib!F190+Pry!F190+Hal!F190+Cem!F190+Par!F190+EDv!G165+Str!F190+Ele!F190+Wat!F190+San!F190+Ref!F190+Mayor!F190+CFO!F190+MB!F190+Infra!F190</f>
        <v>281500</v>
      </c>
      <c r="G190" s="239">
        <f>+Cs!G190+Fin!G190+Rat!G190+MM!G190+Lib!G190+Pry!G190+Hal!G190+Cem!G190+Par!G190+EDv!H165+Str!G190+Ele!G190+Wat!G190+San!G190+Ref!G190+Mayor!G190+CFO!G190+MB!G190+Infra!G190</f>
        <v>296700</v>
      </c>
      <c r="H190" s="66" t="s">
        <v>2721</v>
      </c>
      <c r="I190" s="66" t="s">
        <v>3474</v>
      </c>
    </row>
    <row r="191" spans="1:9" x14ac:dyDescent="0.35">
      <c r="A191" s="66" t="s">
        <v>2905</v>
      </c>
      <c r="B191" s="89">
        <f>+Cs!B191+Fin!B191+Rat!B191+MM!B191+Lib!B191+Pry!B191+Hal!B191+Cem!B191+Par!B191+EDv!C166+Str!B191+Ele!B191+Wat!B191+San!B191+Ref!B191+Mayor!B191+CFO!B191+MB!B191+Infra!B191</f>
        <v>1456800</v>
      </c>
      <c r="C191" s="89">
        <f>+Cs!C191+Fin!C191+Rat!C191+MM!C191+Lib!C191+Pry!C191+Hal!C191+Cem!C191+Par!C191+EDv!D166+Str!C191+Ele!C191+Wat!C191+San!C191+Ref!C191+Mayor!C191+CFO!C191+MB!C191+Infra!C191</f>
        <v>1456800</v>
      </c>
      <c r="D191" s="89">
        <f>+Cs!D191+Fin!D191+Rat!D191+MM!D191+Lib!D191+Pry!D191+Hal!D191+Cem!D191+Par!D191+EDv!E166+Str!D191+Ele!D191+Wat!D191+San!D191+Ref!D191+Mayor!D191+CFO!D191+MB!D191+Infra!D191</f>
        <v>1376074.41</v>
      </c>
      <c r="E191" s="239">
        <f>+Cs!E191+Fin!E191+Rat!E191+MM!E191+Lib!E191+Pry!E191+Hal!E191+Cem!E191+Par!E191+EDv!F166+Str!E191+Ele!E191+Wat!E191+San!E191+Ref!E191+Mayor!E191+CFO!E191+MB!E191+Infra!E191</f>
        <v>1537900</v>
      </c>
      <c r="F191" s="239">
        <f>+Cs!F191+Fin!F191+Rat!F191+MM!F191+Lib!F191+Pry!F191+Hal!F191+Cem!F191+Par!F191+EDv!G166+Str!F191+Ele!F191+Wat!F191+San!F191+Ref!F191+Mayor!F191+CFO!F191+MB!F191+Infra!F191</f>
        <v>1638700</v>
      </c>
      <c r="G191" s="239">
        <f>+Cs!G191+Fin!G191+Rat!G191+MM!G191+Lib!G191+Pry!G191+Hal!G191+Cem!G191+Par!G191+EDv!H166+Str!G191+Ele!G191+Wat!G191+San!G191+Ref!G191+Mayor!G191+CFO!G191+MB!G191+Infra!G191</f>
        <v>1745600</v>
      </c>
      <c r="H191" s="66" t="s">
        <v>2721</v>
      </c>
      <c r="I191" s="66" t="s">
        <v>3475</v>
      </c>
    </row>
    <row r="192" spans="1:9" x14ac:dyDescent="0.35">
      <c r="A192" s="66" t="s">
        <v>3039</v>
      </c>
      <c r="B192" s="89">
        <f>+Cs!B192+Fin!B192+Rat!B192+MM!B192+Lib!B192+Pry!B192+Hal!B192+Cem!B192+Par!B192+EDv!C167+Str!B192+Ele!B192+Wat!B192+San!B192+Ref!B192+Mayor!B192+CFO!B192+MB!B192+Infra!B192</f>
        <v>269000</v>
      </c>
      <c r="C192" s="89">
        <f>+Cs!C192+Fin!C192+Rat!C192+MM!C192+Lib!C192+Pry!C192+Hal!C192+Cem!C192+Par!C192+EDv!D167+Str!C192+Ele!C192+Wat!C192+San!C192+Ref!C192+Mayor!C192+CFO!C192+MB!C192+Infra!C192</f>
        <v>269000</v>
      </c>
      <c r="D192" s="89">
        <f>+Cs!D192+Fin!D192+Rat!D192+MM!D192+Lib!D192+Pry!D192+Hal!D192+Cem!D192+Par!D192+EDv!E167+Str!D192+Ele!D192+Wat!D192+San!D192+Ref!D192+Mayor!D192+CFO!D192+MB!D192+Infra!D192</f>
        <v>258713.12</v>
      </c>
      <c r="E192" s="239">
        <f>+Cs!E192+Fin!E192+Rat!E192+MM!E192+Lib!E192+Pry!E192+Hal!E192+Cem!E192+Par!E192+EDv!F167+Str!E192+Ele!E192+Wat!E192+San!E192+Ref!E192+Mayor!E192+CFO!E192+MB!E192+Infra!E192</f>
        <v>297000</v>
      </c>
      <c r="F192" s="239">
        <f>+Cs!F192+Fin!F192+Rat!F192+MM!F192+Lib!F192+Pry!F192+Hal!F192+Cem!F192+Par!F192+EDv!G167+Str!F192+Ele!F192+Wat!F192+San!F192+Ref!F192+Mayor!F192+CFO!F192+MB!F192+Infra!F192</f>
        <v>310700</v>
      </c>
      <c r="G192" s="239">
        <f>+Cs!G192+Fin!G192+Rat!G192+MM!G192+Lib!G192+Pry!G192+Hal!G192+Cem!G192+Par!G192+EDv!H167+Str!G192+Ele!G192+Wat!G192+San!G192+Ref!G192+Mayor!G192+CFO!G192+MB!G192+Infra!G192</f>
        <v>325000</v>
      </c>
      <c r="H192" s="66" t="s">
        <v>2721</v>
      </c>
      <c r="I192" s="66" t="s">
        <v>3475</v>
      </c>
    </row>
    <row r="193" spans="1:9" x14ac:dyDescent="0.35">
      <c r="A193" s="66" t="s">
        <v>2906</v>
      </c>
      <c r="B193" s="89">
        <f>+Cs!B193+Fin!B193+Rat!B193+MM!B193+Lib!B193+Pry!B193+Hal!B193+Cem!B193+Par!B193+EDv!C168+Str!B193+Ele!B193+Wat!B193+San!B193+Ref!B193+Mayor!B193+CFO!B193+MB!B193+Infra!B193</f>
        <v>22385700</v>
      </c>
      <c r="C193" s="89">
        <f>+Cs!C193+Fin!C193+Rat!C193+MM!C193+Lib!C193+Pry!C193+Hal!C193+Cem!C193+Par!C193+EDv!D168+Str!C193+Ele!C193+Wat!C193+San!C193+Ref!C193+Mayor!C193+CFO!C193+MB!C193+Infra!C193</f>
        <v>21935700</v>
      </c>
      <c r="D193" s="89">
        <f>+Cs!D193+Fin!D193+Rat!D193+MM!D193+Lib!D193+Pry!D193+Hal!D193+Cem!D193+Par!D193+EDv!E168+Str!D193+Ele!D193+Wat!D193+San!D193+Ref!D193+Mayor!D193+CFO!D193+MB!D193+Infra!D193</f>
        <v>21225632.860000003</v>
      </c>
      <c r="E193" s="239">
        <f>+Cs!E193+Fin!E193+Rat!E193+MM!E193+Lib!E193+Pry!E193+Hal!E193+Cem!E193+Par!E193+EDv!F168+Str!E193+Ele!E193+Wat!E193+San!E193+Ref!E193+Mayor!E193+CFO!E193+MB!E193+Infra!E193</f>
        <v>22087000</v>
      </c>
      <c r="F193" s="239">
        <f>+Cs!F193+Fin!F193+Rat!F193+MM!F193+Lib!F193+Pry!F193+Hal!F193+Cem!F193+Par!F193+EDv!G168+Str!F193+Ele!F193+Wat!F193+San!F193+Ref!F193+Mayor!F193+CFO!F193+MB!F193+Infra!F193</f>
        <v>23373200</v>
      </c>
      <c r="G193" s="239">
        <f>+Cs!G193+Fin!G193+Rat!G193+MM!G193+Lib!G193+Pry!G193+Hal!G193+Cem!G193+Par!G193+EDv!H168+Str!G193+Ele!G193+Wat!G193+San!G193+Ref!G193+Mayor!G193+CFO!G193+MB!G193+Infra!G193</f>
        <v>24864000</v>
      </c>
      <c r="H193" s="66" t="s">
        <v>2721</v>
      </c>
      <c r="I193" s="66" t="s">
        <v>3474</v>
      </c>
    </row>
    <row r="194" spans="1:9" x14ac:dyDescent="0.35">
      <c r="A194" s="66" t="s">
        <v>3040</v>
      </c>
      <c r="B194" s="89">
        <f>+Cs!B194+Fin!B194+Rat!B194+MM!B194+Lib!B194+Pry!B194+Hal!B194+Cem!B194+Par!B194+EDv!C169+Str!B194+Ele!B194+Wat!B194+San!B194+Ref!B194+Mayor!B194+CFO!B194+MB!B194+Infra!B194</f>
        <v>0</v>
      </c>
      <c r="C194" s="89">
        <f>+Cs!C194+Fin!C194+Rat!C194+MM!C194+Lib!C194+Pry!C194+Hal!C194+Cem!C194+Par!C194+EDv!D169+Str!C194+Ele!C194+Wat!C194+San!C194+Ref!C194+Mayor!C194+CFO!C194+MB!C194+Infra!C194</f>
        <v>0</v>
      </c>
      <c r="D194" s="89">
        <f>+Cs!D194+Fin!D194+Rat!D194+MM!D194+Lib!D194+Pry!D194+Hal!D194+Cem!D194+Par!D194+EDv!E169+Str!D194+Ele!D194+Wat!D194+San!D194+Ref!D194+Mayor!D194+CFO!D194+MB!D194+Infra!D194</f>
        <v>0</v>
      </c>
      <c r="E194" s="239">
        <f>+Cs!E194+Fin!E194+Rat!E194+MM!E194+Lib!E194+Pry!E194+Hal!E194+Cem!E194+Par!E194+EDv!F169+Str!E194+Ele!E194+Wat!E194+San!E194+Ref!E194+Mayor!E194+CFO!E194+MB!E194+Infra!E194</f>
        <v>0</v>
      </c>
      <c r="F194" s="239">
        <f>+Cs!F194+Fin!F194+Rat!F194+MM!F194+Lib!F194+Pry!F194+Hal!F194+Cem!F194+Par!F194+EDv!G169+Str!F194+Ele!F194+Wat!F194+San!F194+Ref!F194+Mayor!F194+CFO!F194+MB!F194+Infra!F194</f>
        <v>0</v>
      </c>
      <c r="G194" s="239">
        <f>+Cs!G194+Fin!G194+Rat!G194+MM!G194+Lib!G194+Pry!G194+Hal!G194+Cem!G194+Par!G194+EDv!H169+Str!G194+Ele!G194+Wat!G194+San!G194+Ref!G194+Mayor!G194+CFO!G194+MB!G194+Infra!G194</f>
        <v>0</v>
      </c>
      <c r="H194" s="66" t="s">
        <v>2721</v>
      </c>
      <c r="I194" s="66" t="s">
        <v>3474</v>
      </c>
    </row>
    <row r="195" spans="1:9" x14ac:dyDescent="0.35">
      <c r="A195" s="66" t="s">
        <v>2907</v>
      </c>
      <c r="B195" s="89">
        <f>+Cs!B195+Fin!B195+Rat!B195+MM!B195+Lib!B195+Pry!B195+Hal!B195+Cem!B195+Par!B195+EDv!C170+Str!B195+Ele!B195+Wat!B195+San!B195+Ref!B195+Mayor!B195+CFO!B195+MB!B195+Infra!B195</f>
        <v>60000</v>
      </c>
      <c r="C195" s="89">
        <f>+Cs!C195+Fin!C195+Rat!C195+MM!C195+Lib!C195+Pry!C195+Hal!C195+Cem!C195+Par!C195+EDv!D170+Str!C195+Ele!C195+Wat!C195+San!C195+Ref!C195+Mayor!C195+CFO!C195+MB!C195+Infra!C195</f>
        <v>60000</v>
      </c>
      <c r="D195" s="89">
        <f>+Cs!D195+Fin!D195+Rat!D195+MM!D195+Lib!D195+Pry!D195+Hal!D195+Cem!D195+Par!D195+EDv!E170+Str!D195+Ele!D195+Wat!D195+San!D195+Ref!D195+Mayor!D195+CFO!D195+MB!D195+Infra!D195</f>
        <v>58900</v>
      </c>
      <c r="E195" s="239">
        <f>+Cs!E195+Fin!E195+Rat!E195+MM!E195+Lib!E195+Pry!E195+Hal!E195+Cem!E195+Par!E195+EDv!F170+Str!E195+Ele!E195+Wat!E195+San!E195+Ref!E195+Mayor!E195+CFO!E195+MB!E195+Infra!E195</f>
        <v>60000</v>
      </c>
      <c r="F195" s="239">
        <f>+Cs!F195+Fin!F195+Rat!F195+MM!F195+Lib!F195+Pry!F195+Hal!F195+Cem!F195+Par!F195+EDv!G170+Str!F195+Ele!F195+Wat!F195+San!F195+Ref!F195+Mayor!F195+CFO!F195+MB!F195+Infra!F195</f>
        <v>63300</v>
      </c>
      <c r="G195" s="239">
        <f>+Cs!G195+Fin!G195+Rat!G195+MM!G195+Lib!G195+Pry!G195+Hal!G195+Cem!G195+Par!G195+EDv!H170+Str!G195+Ele!G195+Wat!G195+San!G195+Ref!G195+Mayor!G195+CFO!G195+MB!G195+Infra!G195</f>
        <v>66800</v>
      </c>
      <c r="H195" s="66" t="s">
        <v>2721</v>
      </c>
      <c r="I195" s="66" t="s">
        <v>3474</v>
      </c>
    </row>
    <row r="196" spans="1:9" x14ac:dyDescent="0.35">
      <c r="A196" s="66" t="s">
        <v>2908</v>
      </c>
      <c r="B196" s="89">
        <f>+Cs!B196+Fin!B196+Rat!B196+MM!B196+Lib!B196+Pry!B196+Hal!B196+Cem!B196+Par!B196+EDv!C171+Str!B196+Ele!B196+Wat!B196+San!B196+Ref!B196+Mayor!B196+CFO!B196+MB!B196+Infra!B196</f>
        <v>0</v>
      </c>
      <c r="C196" s="89">
        <f>+Cs!C196+Fin!C196+Rat!C196+MM!C196+Lib!C196+Pry!C196+Hal!C196+Cem!C196+Par!C196+EDv!D171+Str!C196+Ele!C196+Wat!C196+San!C196+Ref!C196+Mayor!C196+CFO!C196+MB!C196+Infra!C196</f>
        <v>0</v>
      </c>
      <c r="D196" s="89">
        <f>+Cs!D196+Fin!D196+Rat!D196+MM!D196+Lib!D196+Pry!D196+Hal!D196+Cem!D196+Par!D196+EDv!E171+Str!D196+Ele!D196+Wat!D196+San!D196+Ref!D196+Mayor!D196+CFO!D196+MB!D196+Infra!D196</f>
        <v>0</v>
      </c>
      <c r="E196" s="239">
        <f>+Cs!E196+Fin!E196+Rat!E196+MM!E196+Lib!E196+Pry!E196+Hal!E196+Cem!E196+Par!E196+EDv!F171+Str!E196+Ele!E196+Wat!E196+San!E196+Ref!E196+Mayor!E196+CFO!E196+MB!E196+Infra!E196</f>
        <v>0</v>
      </c>
      <c r="F196" s="239">
        <f>+Cs!F196+Fin!F196+Rat!F196+MM!F196+Lib!F196+Pry!F196+Hal!F196+Cem!F196+Par!F196+EDv!G171+Str!F196+Ele!F196+Wat!F196+San!F196+Ref!F196+Mayor!F196+CFO!F196+MB!F196+Infra!F196</f>
        <v>0</v>
      </c>
      <c r="G196" s="239">
        <f>+Cs!G196+Fin!G196+Rat!G196+MM!G196+Lib!G196+Pry!G196+Hal!G196+Cem!G196+Par!G196+EDv!H171+Str!G196+Ele!G196+Wat!G196+San!G196+Ref!G196+Mayor!G196+CFO!G196+MB!G196+Infra!G196</f>
        <v>0</v>
      </c>
      <c r="H196" s="66" t="s">
        <v>2721</v>
      </c>
      <c r="I196" s="66" t="s">
        <v>3474</v>
      </c>
    </row>
    <row r="197" spans="1:9" x14ac:dyDescent="0.35">
      <c r="A197" s="66" t="s">
        <v>2909</v>
      </c>
      <c r="B197" s="89">
        <f>+Cs!B197+Fin!B197+Rat!B197+MM!B197+Lib!B197+Pry!B197+Hal!B197+Cem!B197+Par!B197+EDv!C172+Str!B197+Ele!B197+Wat!B197+San!B197+Ref!B197+Mayor!B197+CFO!B197+MB!B197+Infra!B197</f>
        <v>146200</v>
      </c>
      <c r="C197" s="89">
        <f>+Cs!C197+Fin!C197+Rat!C197+MM!C197+Lib!C197+Pry!C197+Hal!C197+Cem!C197+Par!C197+EDv!D172+Str!C197+Ele!C197+Wat!C197+San!C197+Ref!C197+Mayor!C197+CFO!C197+MB!C197+Infra!C197</f>
        <v>146200</v>
      </c>
      <c r="D197" s="89">
        <f>+Cs!D197+Fin!D197+Rat!D197+MM!D197+Lib!D197+Pry!D197+Hal!D197+Cem!D197+Par!D197+EDv!E172+Str!D197+Ele!D197+Wat!D197+San!D197+Ref!D197+Mayor!D197+CFO!D197+MB!D197+Infra!D197</f>
        <v>146200</v>
      </c>
      <c r="E197" s="239">
        <f>+Cs!E197+Fin!E197+Rat!E197+MM!E197+Lib!E197+Pry!E197+Hal!E197+Cem!E197+Par!E197+EDv!F172+Str!E197+Ele!E197+Wat!E197+San!E197+Ref!E197+Mayor!E197+CFO!E197+MB!E197+Infra!E197</f>
        <v>146200</v>
      </c>
      <c r="F197" s="239">
        <f>+Cs!F197+Fin!F197+Rat!F197+MM!F197+Lib!F197+Pry!F197+Hal!F197+Cem!F197+Par!F197+EDv!G172+Str!F197+Ele!F197+Wat!F197+San!F197+Ref!F197+Mayor!F197+CFO!F197+MB!F197+Infra!F197</f>
        <v>146200</v>
      </c>
      <c r="G197" s="239">
        <f>+Cs!G197+Fin!G197+Rat!G197+MM!G197+Lib!G197+Pry!G197+Hal!G197+Cem!G197+Par!G197+EDv!H172+Str!G197+Ele!G197+Wat!G197+San!G197+Ref!G197+Mayor!G197+CFO!G197+MB!G197+Infra!G197</f>
        <v>146200</v>
      </c>
      <c r="H197" s="66" t="s">
        <v>2721</v>
      </c>
      <c r="I197" s="66" t="s">
        <v>3474</v>
      </c>
    </row>
    <row r="198" spans="1:9" x14ac:dyDescent="0.35">
      <c r="A198" s="66" t="s">
        <v>2910</v>
      </c>
      <c r="B198" s="89">
        <f>+Cs!B198+Fin!B198+Rat!B198+MM!B198+Lib!B198+Pry!B198+Hal!B198+Cem!B198+Par!B198+EDv!C173+Str!B198+Ele!B198+Wat!B198+San!B198+Ref!B198+Mayor!B198+CFO!B198+MB!B198+Infra!B198</f>
        <v>130800</v>
      </c>
      <c r="C198" s="89">
        <f>+Cs!C198+Fin!C198+Rat!C198+MM!C198+Lib!C198+Pry!C198+Hal!C198+Cem!C198+Par!C198+EDv!D173+Str!C198+Ele!C198+Wat!C198+San!C198+Ref!C198+Mayor!C198+CFO!C198+MB!C198+Infra!C198</f>
        <v>130800</v>
      </c>
      <c r="D198" s="89">
        <f>+Cs!D198+Fin!D198+Rat!D198+MM!D198+Lib!D198+Pry!D198+Hal!D198+Cem!D198+Par!D198+EDv!E173+Str!D198+Ele!D198+Wat!D198+San!D198+Ref!D198+Mayor!D198+CFO!D198+MB!D198+Infra!D198</f>
        <v>122547.22</v>
      </c>
      <c r="E198" s="239">
        <f>+Cs!E198+Fin!E198+Rat!E198+MM!E198+Lib!E198+Pry!E198+Hal!E198+Cem!E198+Par!E198+EDv!F173+Str!E198+Ele!E198+Wat!E198+San!E198+Ref!E198+Mayor!E198+CFO!E198+MB!E198+Infra!E198</f>
        <v>131900</v>
      </c>
      <c r="F198" s="239">
        <f>+Cs!F198+Fin!F198+Rat!F198+MM!F198+Lib!F198+Pry!F198+Hal!F198+Cem!F198+Par!F198+EDv!G173+Str!F198+Ele!F198+Wat!F198+San!F198+Ref!F198+Mayor!F198+CFO!F198+MB!F198+Infra!F198</f>
        <v>140800</v>
      </c>
      <c r="G198" s="239">
        <f>+Cs!G198+Fin!G198+Rat!G198+MM!G198+Lib!G198+Pry!G198+Hal!G198+Cem!G198+Par!G198+EDv!H173+Str!G198+Ele!G198+Wat!G198+San!G198+Ref!G198+Mayor!G198+CFO!G198+MB!G198+Infra!G198</f>
        <v>150200</v>
      </c>
      <c r="H198" s="66" t="s">
        <v>2721</v>
      </c>
      <c r="I198" s="66" t="s">
        <v>3475</v>
      </c>
    </row>
    <row r="199" spans="1:9" x14ac:dyDescent="0.35">
      <c r="A199" s="66" t="s">
        <v>3125</v>
      </c>
      <c r="B199" s="89">
        <f>+Cs!B199+Fin!B199+Rat!B199+MM!B199+Lib!B199+Pry!B199+Hal!B199+Cem!B199+Par!B199+EDv!C174+Str!B199+Ele!B199+Wat!B199+San!B199+Ref!B199+Mayor!B199+CFO!B199+MB!B199+Infra!B199</f>
        <v>5000000</v>
      </c>
      <c r="C199" s="89">
        <f>+Cs!C199+Fin!C199+Rat!C199+MM!C199+Lib!C199+Pry!C199+Hal!C199+Cem!C199+Par!C199+EDv!D174+Str!C199+Ele!C199+Wat!C199+San!C199+Ref!C199+Mayor!C199+CFO!C199+MB!C199+Infra!C199</f>
        <v>0</v>
      </c>
      <c r="D199" s="89">
        <f>+Cs!D199+Fin!D199+Rat!D199+MM!D199+Lib!D199+Pry!D199+Hal!D199+Cem!D199+Par!D199+EDv!E174+Str!D199+Ele!D199+Wat!D199+San!D199+Ref!D199+Mayor!D199+CFO!D199+MB!D199+Infra!D199</f>
        <v>0</v>
      </c>
      <c r="E199" s="235">
        <f>+Cs!E199+Fin!E199+Rat!E199+MM!E199+Lib!E199+Pry!E199+Hal!E199+Cem!E199+Par!E199+EDv!F174+Str!E199+Ele!E199+Wat!E199+San!E199+Ref!E199+Mayor!E199+CFO!E199+MB!E199+Infra!E199</f>
        <v>0</v>
      </c>
      <c r="F199" s="235">
        <f>+Cs!F199+Fin!F199+Rat!F199+MM!F199+Lib!F199+Pry!F199+Hal!F199+Cem!F199+Par!F199+EDv!G174+Str!F199+Ele!F199+Wat!F199+San!F199+Ref!F199+Mayor!F199+CFO!F199+MB!F199+Infra!F199</f>
        <v>0</v>
      </c>
      <c r="G199" s="235">
        <f>+Cs!G199+Fin!G199+Rat!G199+MM!G199+Lib!G199+Pry!G199+Hal!G199+Cem!G199+Par!G199+EDv!H174+Str!G199+Ele!G199+Wat!G199+San!G199+Ref!G199+Mayor!G199+CFO!G199+MB!G199+Infra!G199</f>
        <v>0</v>
      </c>
      <c r="H199" s="66" t="s">
        <v>2887</v>
      </c>
      <c r="I199" s="66"/>
    </row>
    <row r="200" spans="1:9" x14ac:dyDescent="0.35">
      <c r="A200" s="66" t="s">
        <v>3126</v>
      </c>
      <c r="B200" s="89">
        <f>+Cs!B200+Fin!B200+Rat!B200+MM!B200+Lib!B200+Pry!B200+Hal!B200+Cem!B200+Par!B200+EDv!C175+Str!B200+Ele!B200+Wat!B200+San!B200+Ref!B200+Mayor!B200+CFO!B200+MB!B200+Infra!B200</f>
        <v>0</v>
      </c>
      <c r="C200" s="89">
        <f>+Cs!C200+Fin!C200+Rat!C200+MM!C200+Lib!C200+Pry!C200+Hal!C200+Cem!C200+Par!C200+EDv!D175+Str!C200+Ele!C200+Wat!C200+San!C200+Ref!C200+Mayor!C200+CFO!C200+MB!C200+Infra!C200</f>
        <v>0</v>
      </c>
      <c r="D200" s="89">
        <f>+Cs!D200+Fin!D200+Rat!D200+MM!D200+Lib!D200+Pry!D200+Hal!D200+Cem!D200+Par!D200+EDv!E175+Str!D200+Ele!D200+Wat!D200+San!D200+Ref!D200+Mayor!D200+CFO!D200+MB!D200+Infra!D200</f>
        <v>0</v>
      </c>
      <c r="E200" s="235">
        <f>+Cs!E200+Fin!E200+Rat!E200+MM!E200+Lib!E200+Pry!E200+Hal!E200+Cem!E200+Par!E200+EDv!F175+Str!E200+Ele!E200+Wat!E200+San!E200+Ref!E200+Mayor!E200+CFO!E200+MB!E200+Infra!E200</f>
        <v>0</v>
      </c>
      <c r="F200" s="235">
        <f>+Cs!F200+Fin!F200+Rat!F200+MM!F200+Lib!F200+Pry!F200+Hal!F200+Cem!F200+Par!F200+EDv!G175+Str!F200+Ele!F200+Wat!F200+San!F200+Ref!F200+Mayor!F200+CFO!F200+MB!F200+Infra!F200</f>
        <v>0</v>
      </c>
      <c r="G200" s="235">
        <f>+Cs!G200+Fin!G200+Rat!G200+MM!G200+Lib!G200+Pry!G200+Hal!G200+Cem!G200+Par!G200+EDv!H175+Str!G200+Ele!G200+Wat!G200+San!G200+Ref!G200+Mayor!G200+CFO!G200+MB!G200+Infra!G200</f>
        <v>0</v>
      </c>
      <c r="H200" s="66" t="s">
        <v>2887</v>
      </c>
      <c r="I200" s="66"/>
    </row>
    <row r="201" spans="1:9" x14ac:dyDescent="0.35">
      <c r="A201" s="66" t="s">
        <v>2986</v>
      </c>
      <c r="B201" s="89">
        <f>+Cs!B201+Fin!B201+Rat!B201+MM!B201+Lib!B201+Pry!B201+Hal!B201+Cem!B201+Par!B201+EDv!C176+Str!B201+Ele!B201+Wat!B201+San!B201+Ref!B201+Mayor!B201+CFO!B201+MB!B201+Infra!B201</f>
        <v>12000</v>
      </c>
      <c r="C201" s="89">
        <f>+Cs!C201+Fin!C201+Rat!C201+MM!C201+Lib!C201+Pry!C201+Hal!C201+Cem!C201+Par!C201+EDv!D176+Str!C201+Ele!C201+Wat!C201+San!C201+Ref!C201+Mayor!C201+CFO!C201+MB!C201+Infra!C201</f>
        <v>12000</v>
      </c>
      <c r="D201" s="89">
        <f>+Cs!D201+Fin!D201+Rat!D201+MM!D201+Lib!D201+Pry!D201+Hal!D201+Cem!D201+Par!D201+EDv!E176+Str!D201+Ele!D201+Wat!D201+San!D201+Ref!D201+Mayor!D201+CFO!D201+MB!D201+Infra!D201</f>
        <v>7918.81</v>
      </c>
      <c r="E201" s="235">
        <f>+Cs!E201+Fin!E201+Rat!E201+MM!E201+Lib!E201+Pry!E201+Hal!E201+Cem!E201+Par!E201+EDv!F176+Str!E201+Ele!E201+Wat!E201+San!E201+Ref!E201+Mayor!E201+CFO!E201+MB!E201+Infra!E201</f>
        <v>8000</v>
      </c>
      <c r="F201" s="235">
        <f>+Cs!F201+Fin!F201+Rat!F201+MM!F201+Lib!F201+Pry!F201+Hal!F201+Cem!F201+Par!F201+EDv!G176+Str!F201+Ele!F201+Wat!F201+San!F201+Ref!F201+Mayor!F201+CFO!F201+MB!F201+Infra!F201</f>
        <v>8000</v>
      </c>
      <c r="G201" s="235">
        <f>+Cs!G201+Fin!G201+Rat!G201+MM!G201+Lib!G201+Pry!G201+Hal!G201+Cem!G201+Par!G201+EDv!H176+Str!G201+Ele!G201+Wat!G201+San!G201+Ref!G201+Mayor!G201+CFO!G201+MB!G201+Infra!G201</f>
        <v>8000</v>
      </c>
      <c r="H201" s="66" t="s">
        <v>2722</v>
      </c>
      <c r="I201" s="66"/>
    </row>
    <row r="202" spans="1:9" x14ac:dyDescent="0.35">
      <c r="A202" s="66" t="s">
        <v>2995</v>
      </c>
      <c r="B202" s="89">
        <f>+Cs!B202+Fin!B202+Rat!B202+MM!B202+Lib!B202+Pry!B202+Hal!B202+Cem!B202+Par!B202+EDv!C177+Str!B202+Ele!B202+Wat!B202+San!B202+Ref!B202+Mayor!B202+CFO!B202+MB!B202+Infra!B202</f>
        <v>0</v>
      </c>
      <c r="C202" s="89">
        <f>+Cs!C202+Fin!C202+Rat!C202+MM!C202+Lib!C202+Pry!C202+Hal!C202+Cem!C202+Par!C202+EDv!D177+Str!C202+Ele!C202+Wat!C202+San!C202+Ref!C202+Mayor!C202+CFO!C202+MB!C202+Infra!C202</f>
        <v>0</v>
      </c>
      <c r="D202" s="89">
        <f>+Cs!D202+Fin!D202+Rat!D202+MM!D202+Lib!D202+Pry!D202+Hal!D202+Cem!D202+Par!D202+EDv!E177+Str!D202+Ele!D202+Wat!D202+San!D202+Ref!D202+Mayor!D202+CFO!D202+MB!D202+Infra!D202</f>
        <v>0</v>
      </c>
      <c r="E202" s="235">
        <f>+Cs!E202+Fin!E202+Rat!E202+MM!E202+Lib!E202+Pry!E202+Hal!E202+Cem!E202+Par!E202+EDv!F177+Str!E202+Ele!E202+Wat!E202+San!E202+Ref!E202+Mayor!E202+CFO!E202+MB!E202+Infra!E202</f>
        <v>50000</v>
      </c>
      <c r="F202" s="235">
        <f>+Cs!F202+Fin!F202+Rat!F202+MM!F202+Lib!F202+Pry!F202+Hal!F202+Cem!F202+Par!F202+EDv!G177+Str!F202+Ele!F202+Wat!F202+San!F202+Ref!F202+Mayor!F202+CFO!F202+MB!F202+Infra!F202</f>
        <v>0</v>
      </c>
      <c r="G202" s="235">
        <f>+Cs!G202+Fin!G202+Rat!G202+MM!G202+Lib!G202+Pry!G202+Hal!G202+Cem!G202+Par!G202+EDv!H177+Str!G202+Ele!G202+Wat!G202+San!G202+Ref!G202+Mayor!G202+CFO!G202+MB!G202+Infra!G202</f>
        <v>0</v>
      </c>
      <c r="H202" s="66" t="s">
        <v>2722</v>
      </c>
      <c r="I202" s="66"/>
    </row>
    <row r="203" spans="1:9" x14ac:dyDescent="0.35">
      <c r="A203" s="66" t="s">
        <v>2994</v>
      </c>
      <c r="B203" s="89">
        <f>+Cs!B203+Fin!B203+Rat!B203+MM!B203+Lib!B203+Pry!B203+Hal!B203+Cem!B203+Par!B203+EDv!C178+Str!B203+Ele!B203+Wat!B203+San!B203+Ref!B203+Mayor!B203+CFO!B203+MB!B203+Infra!B203</f>
        <v>0</v>
      </c>
      <c r="C203" s="89">
        <f>+Cs!C203+Fin!C203+Rat!C203+MM!C203+Lib!C203+Pry!C203+Hal!C203+Cem!C203+Par!C203+EDv!D178+Str!C203+Ele!C203+Wat!C203+San!C203+Ref!C203+Mayor!C203+CFO!C203+MB!C203+Infra!C203</f>
        <v>0</v>
      </c>
      <c r="D203" s="89">
        <f>+Cs!D203+Fin!D203+Rat!D203+MM!D203+Lib!D203+Pry!D203+Hal!D203+Cem!D203+Par!D203+EDv!E178+Str!D203+Ele!D203+Wat!D203+San!D203+Ref!D203+Mayor!D203+CFO!D203+MB!D203+Infra!D203</f>
        <v>0</v>
      </c>
      <c r="E203" s="235">
        <f>+Cs!E203+Fin!E203+Rat!E203+MM!E203+Lib!E203+Pry!E203+Hal!E203+Cem!E203+Par!E203+EDv!F178+Str!E203+Ele!E203+Wat!E203+San!E203+Ref!E203+Mayor!E203+CFO!E203+MB!E203+Infra!E203</f>
        <v>60000</v>
      </c>
      <c r="F203" s="235">
        <f>+Cs!F203+Fin!F203+Rat!F203+MM!F203+Lib!F203+Pry!F203+Hal!F203+Cem!F203+Par!F203+EDv!G178+Str!F203+Ele!F203+Wat!F203+San!F203+Ref!F203+Mayor!F203+CFO!F203+MB!F203+Infra!F203</f>
        <v>0</v>
      </c>
      <c r="G203" s="235">
        <f>+Cs!G203+Fin!G203+Rat!G203+MM!G203+Lib!G203+Pry!G203+Hal!G203+Cem!G203+Par!G203+EDv!H178+Str!G203+Ele!G203+Wat!G203+San!G203+Ref!G203+Mayor!G203+CFO!G203+MB!G203+Infra!G203</f>
        <v>0</v>
      </c>
      <c r="H203" s="66" t="s">
        <v>2722</v>
      </c>
      <c r="I203" s="66"/>
    </row>
    <row r="204" spans="1:9" x14ac:dyDescent="0.35">
      <c r="A204" s="66" t="s">
        <v>2999</v>
      </c>
      <c r="B204" s="89">
        <f>+Cs!B204+Fin!B204+Rat!B204+MM!B204+Lib!B204+Pry!B204+Hal!B204+Cem!B204+Par!B204+EDv!C179+Str!B204+Ele!B204+Wat!B204+San!B204+Ref!B204+Mayor!B204+CFO!B204+MB!B204+Infra!B204</f>
        <v>0</v>
      </c>
      <c r="C204" s="89">
        <f>+Cs!C204+Fin!C204+Rat!C204+MM!C204+Lib!C204+Pry!C204+Hal!C204+Cem!C204+Par!C204+EDv!D179+Str!C204+Ele!C204+Wat!C204+San!C204+Ref!C204+Mayor!C204+CFO!C204+MB!C204+Infra!C204</f>
        <v>0</v>
      </c>
      <c r="D204" s="89">
        <f>+Cs!D204+Fin!D204+Rat!D204+MM!D204+Lib!D204+Pry!D204+Hal!D204+Cem!D204+Par!D204+EDv!E179+Str!D204+Ele!D204+Wat!D204+San!D204+Ref!D204+Mayor!D204+CFO!D204+MB!D204+Infra!D204</f>
        <v>0</v>
      </c>
      <c r="E204" s="235">
        <f>+Cs!E204+Fin!E204+Rat!E204+MM!E204+Lib!E204+Pry!E204+Hal!E204+Cem!E204+Par!E204+EDv!F179+Str!E204+Ele!E204+Wat!E204+San!E204+Ref!E204+Mayor!E204+CFO!E204+MB!E204+Infra!E204</f>
        <v>85000</v>
      </c>
      <c r="F204" s="235">
        <f>+Cs!F204+Fin!F204+Rat!F204+MM!F204+Lib!F204+Pry!F204+Hal!F204+Cem!F204+Par!F204+EDv!G179+Str!F204+Ele!F204+Wat!F204+San!F204+Ref!F204+Mayor!F204+CFO!F204+MB!F204+Infra!F204</f>
        <v>0</v>
      </c>
      <c r="G204" s="235">
        <f>+Cs!G204+Fin!G204+Rat!G204+MM!G204+Lib!G204+Pry!G204+Hal!G204+Cem!G204+Par!G204+EDv!H179+Str!G204+Ele!G204+Wat!G204+San!G204+Ref!G204+Mayor!G204+CFO!G204+MB!G204+Infra!G204</f>
        <v>0</v>
      </c>
      <c r="H204" s="66" t="s">
        <v>3495</v>
      </c>
      <c r="I204" s="66"/>
    </row>
    <row r="205" spans="1:9" x14ac:dyDescent="0.35">
      <c r="A205" s="66" t="s">
        <v>2998</v>
      </c>
      <c r="B205" s="89">
        <f>+Cs!B205+Fin!B205+Rat!B205+MM!B205+Lib!B205+Pry!B205+Hal!B205+Cem!B205+Par!B205+EDv!C180+Str!B205+Ele!B205+Wat!B205+San!B205+Ref!B205+Mayor!B205+CFO!B205+MB!B205+Infra!B205</f>
        <v>0</v>
      </c>
      <c r="C205" s="89">
        <f>+Cs!C205+Fin!C205+Rat!C205+MM!C205+Lib!C205+Pry!C205+Hal!C205+Cem!C205+Par!C205+EDv!D180+Str!C205+Ele!C205+Wat!C205+San!C205+Ref!C205+Mayor!C205+CFO!C205+MB!C205+Infra!C205</f>
        <v>0</v>
      </c>
      <c r="D205" s="89">
        <f>+Cs!D205+Fin!D205+Rat!D205+MM!D205+Lib!D205+Pry!D205+Hal!D205+Cem!D205+Par!D205+EDv!E180+Str!D205+Ele!D205+Wat!D205+San!D205+Ref!D205+Mayor!D205+CFO!D205+MB!D205+Infra!D205</f>
        <v>0</v>
      </c>
      <c r="E205" s="235">
        <f>+Cs!E205+Fin!E205+Rat!E205+MM!E205+Lib!E205+Pry!E205+Hal!E205+Cem!E205+Par!E205+EDv!F180+Str!E205+Ele!E205+Wat!E205+San!E205+Ref!E205+Mayor!E205+CFO!E205+MB!E205+Infra!E205</f>
        <v>70000</v>
      </c>
      <c r="F205" s="235">
        <f>+Cs!F205+Fin!F205+Rat!F205+MM!F205+Lib!F205+Pry!F205+Hal!F205+Cem!F205+Par!F205+EDv!G180+Str!F205+Ele!F205+Wat!F205+San!F205+Ref!F205+Mayor!F205+CFO!F205+MB!F205+Infra!F205</f>
        <v>0</v>
      </c>
      <c r="G205" s="235">
        <f>+Cs!G205+Fin!G205+Rat!G205+MM!G205+Lib!G205+Pry!G205+Hal!G205+Cem!G205+Par!G205+EDv!H180+Str!G205+Ele!G205+Wat!G205+San!G205+Ref!G205+Mayor!G205+CFO!G205+MB!G205+Infra!G205</f>
        <v>0</v>
      </c>
      <c r="H205" s="66" t="s">
        <v>3495</v>
      </c>
      <c r="I205" s="66"/>
    </row>
    <row r="206" spans="1:9" x14ac:dyDescent="0.35">
      <c r="A206" s="66" t="s">
        <v>2996</v>
      </c>
      <c r="B206" s="89">
        <f>+Cs!B206+Fin!B206+Rat!B206+MM!B206+Lib!B206+Pry!B206+Hal!B206+Cem!B206+Par!B206+EDv!C181+Str!B206+Ele!B206+Wat!B206+San!B206+Ref!B206+Mayor!B206+CFO!B206+MB!B206+Infra!B206</f>
        <v>0</v>
      </c>
      <c r="C206" s="89">
        <f>+Cs!C206+Fin!C206+Rat!C206+MM!C206+Lib!C206+Pry!C206+Hal!C206+Cem!C206+Par!C206+EDv!D181+Str!C206+Ele!C206+Wat!C206+San!C206+Ref!C206+Mayor!C206+CFO!C206+MB!C206+Infra!C206</f>
        <v>0</v>
      </c>
      <c r="D206" s="89">
        <f>+Cs!D206+Fin!D206+Rat!D206+MM!D206+Lib!D206+Pry!D206+Hal!D206+Cem!D206+Par!D206+EDv!E181+Str!D206+Ele!D206+Wat!D206+San!D206+Ref!D206+Mayor!D206+CFO!D206+MB!D206+Infra!D206</f>
        <v>0</v>
      </c>
      <c r="E206" s="235">
        <f>+Cs!E206+Fin!E206+Rat!E206+MM!E206+Lib!E206+Pry!E206+Hal!E206+Cem!E206+Par!E206+EDv!F181+Str!E206+Ele!E206+Wat!E206+San!E206+Ref!E206+Mayor!E206+CFO!E206+MB!E206+Infra!E206</f>
        <v>90000</v>
      </c>
      <c r="F206" s="235">
        <f>+Cs!F206+Fin!F206+Rat!F206+MM!F206+Lib!F206+Pry!F206+Hal!F206+Cem!F206+Par!F206+EDv!G181+Str!F206+Ele!F206+Wat!F206+San!F206+Ref!F206+Mayor!F206+CFO!F206+MB!F206+Infra!F206</f>
        <v>0</v>
      </c>
      <c r="G206" s="235">
        <f>+Cs!G206+Fin!G206+Rat!G206+MM!G206+Lib!G206+Pry!G206+Hal!G206+Cem!G206+Par!G206+EDv!H181+Str!G206+Ele!G206+Wat!G206+San!G206+Ref!G206+Mayor!G206+CFO!G206+MB!G206+Infra!G206</f>
        <v>0</v>
      </c>
      <c r="H206" s="66" t="s">
        <v>2722</v>
      </c>
      <c r="I206" s="66"/>
    </row>
    <row r="207" spans="1:9" x14ac:dyDescent="0.35">
      <c r="A207" s="66" t="s">
        <v>2997</v>
      </c>
      <c r="B207" s="89">
        <f>+Cs!B207+Fin!B207+Rat!B207+MM!B207+Lib!B207+Pry!B207+Hal!B207+Cem!B207+Par!B207+EDv!C182+Str!B207+Ele!B207+Wat!B207+San!B207+Ref!B207+Mayor!B207+CFO!B207+MB!B207+Infra!B207</f>
        <v>0</v>
      </c>
      <c r="C207" s="89">
        <f>+Cs!C207+Fin!C207+Rat!C207+MM!C207+Lib!C207+Pry!C207+Hal!C207+Cem!C207+Par!C207+EDv!D182+Str!C207+Ele!C207+Wat!C207+San!C207+Ref!C207+Mayor!C207+CFO!C207+MB!C207+Infra!C207</f>
        <v>0</v>
      </c>
      <c r="D207" s="89">
        <f>+Cs!D207+Fin!D207+Rat!D207+MM!D207+Lib!D207+Pry!D207+Hal!D207+Cem!D207+Par!D207+EDv!E182+Str!D207+Ele!D207+Wat!D207+San!D207+Ref!D207+Mayor!D207+CFO!D207+MB!D207+Infra!D207</f>
        <v>0</v>
      </c>
      <c r="E207" s="235">
        <f>+Cs!E207+Fin!E207+Rat!E207+MM!E207+Lib!E207+Pry!E207+Hal!E207+Cem!E207+Par!E207+EDv!F182+Str!E207+Ele!E207+Wat!E207+San!E207+Ref!E207+Mayor!E207+CFO!E207+MB!E207+Infra!E207</f>
        <v>65000</v>
      </c>
      <c r="F207" s="235">
        <f>+Cs!F207+Fin!F207+Rat!F207+MM!F207+Lib!F207+Pry!F207+Hal!F207+Cem!F207+Par!F207+EDv!G182+Str!F207+Ele!F207+Wat!F207+San!F207+Ref!F207+Mayor!F207+CFO!F207+MB!F207+Infra!F207</f>
        <v>0</v>
      </c>
      <c r="G207" s="235">
        <f>+Cs!G207+Fin!G207+Rat!G207+MM!G207+Lib!G207+Pry!G207+Hal!G207+Cem!G207+Par!G207+EDv!H182+Str!G207+Ele!G207+Wat!G207+San!G207+Ref!G207+Mayor!G207+CFO!G207+MB!G207+Infra!G207</f>
        <v>0</v>
      </c>
      <c r="H207" s="66" t="s">
        <v>2722</v>
      </c>
      <c r="I207" s="66"/>
    </row>
    <row r="208" spans="1:9" x14ac:dyDescent="0.35">
      <c r="A208" s="66" t="s">
        <v>2993</v>
      </c>
      <c r="B208" s="89">
        <f>+Cs!B208+Fin!B208+Rat!B208+MM!B208+Lib!B208+Pry!B208+Hal!B208+Cem!B208+Par!B208+EDv!C183+Str!B208+Ele!B208+Wat!B208+San!B208+Ref!B208+Mayor!B208+CFO!B208+MB!B208+Infra!B208</f>
        <v>0</v>
      </c>
      <c r="C208" s="89">
        <f>+Cs!C208+Fin!C208+Rat!C208+MM!C208+Lib!C208+Pry!C208+Hal!C208+Cem!C208+Par!C208+EDv!D183+Str!C208+Ele!C208+Wat!C208+San!C208+Ref!C208+Mayor!C208+CFO!C208+MB!C208+Infra!C208</f>
        <v>0</v>
      </c>
      <c r="D208" s="89">
        <f>+Cs!D208+Fin!D208+Rat!D208+MM!D208+Lib!D208+Pry!D208+Hal!D208+Cem!D208+Par!D208+EDv!E183+Str!D208+Ele!D208+Wat!D208+San!D208+Ref!D208+Mayor!D208+CFO!D208+MB!D208+Infra!D208</f>
        <v>0</v>
      </c>
      <c r="E208" s="235">
        <f>+Cs!E208+Fin!E208+Rat!E208+MM!E208+Lib!E208+Pry!E208+Hal!E208+Cem!E208+Par!E208+EDv!F183+Str!E208+Ele!E208+Wat!E208+San!E208+Ref!E208+Mayor!E208+CFO!E208+MB!E208+Infra!E208</f>
        <v>580000</v>
      </c>
      <c r="F208" s="235">
        <f>+Cs!F208+Fin!F208+Rat!F208+MM!F208+Lib!F208+Pry!F208+Hal!F208+Cem!F208+Par!F208+EDv!G183+Str!F208+Ele!F208+Wat!F208+San!F208+Ref!F208+Mayor!F208+CFO!F208+MB!F208+Infra!F208</f>
        <v>0</v>
      </c>
      <c r="G208" s="235">
        <f>+Cs!G208+Fin!G208+Rat!G208+MM!G208+Lib!G208+Pry!G208+Hal!G208+Cem!G208+Par!G208+EDv!H183+Str!G208+Ele!G208+Wat!G208+San!G208+Ref!G208+Mayor!G208+CFO!G208+MB!G208+Infra!G208</f>
        <v>0</v>
      </c>
      <c r="H208" s="66" t="s">
        <v>2722</v>
      </c>
      <c r="I208" s="66"/>
    </row>
    <row r="209" spans="1:9" x14ac:dyDescent="0.35">
      <c r="A209" s="66" t="s">
        <v>3065</v>
      </c>
      <c r="B209" s="89">
        <f>+Cs!B209+Fin!B209+Rat!B209+MM!B209+Lib!B209+Pry!B209+Hal!B209+Cem!B209+Par!B209+EDv!C184+Str!B209+Ele!B209+Wat!B209+San!B209+Ref!B209+Mayor!B209+CFO!B209+MB!B209+Infra!B209</f>
        <v>213000</v>
      </c>
      <c r="C209" s="89">
        <f>+Cs!C209+Fin!C209+Rat!C209+MM!C209+Lib!C209+Pry!C209+Hal!C209+Cem!C209+Par!C209+EDv!D184+Str!C209+Ele!C209+Wat!C209+San!C209+Ref!C209+Mayor!C209+CFO!C209+MB!C209+Infra!C209</f>
        <v>213000</v>
      </c>
      <c r="D209" s="89">
        <f>+Cs!D209+Fin!D209+Rat!D209+MM!D209+Lib!D209+Pry!D209+Hal!D209+Cem!D209+Par!D209+EDv!E184+Str!D209+Ele!D209+Wat!D209+San!D209+Ref!D209+Mayor!D209+CFO!D209+MB!D209+Infra!D209</f>
        <v>211048.08</v>
      </c>
      <c r="E209" s="235">
        <f>+Cs!E209+Fin!E209+Rat!E209+MM!E209+Lib!E209+Pry!E209+Hal!E209+Cem!E209+Par!E209+EDv!F184+Str!E209+Ele!E209+Wat!E209+San!E209+Ref!E209+Mayor!E209+CFO!E209+MB!E209+Infra!E209</f>
        <v>213000</v>
      </c>
      <c r="F209" s="235">
        <f>+Cs!F209+Fin!F209+Rat!F209+MM!F209+Lib!F209+Pry!F209+Hal!F209+Cem!F209+Par!F209+EDv!G184+Str!F209+Ele!F209+Wat!F209+San!F209+Ref!F209+Mayor!F209+CFO!F209+MB!F209+Infra!F209</f>
        <v>223000</v>
      </c>
      <c r="G209" s="235">
        <f>+Cs!G209+Fin!G209+Rat!G209+MM!G209+Lib!G209+Pry!G209+Hal!G209+Cem!G209+Par!G209+EDv!H184+Str!G209+Ele!G209+Wat!G209+San!G209+Ref!G209+Mayor!G209+CFO!G209+MB!G209+Infra!G209</f>
        <v>235000</v>
      </c>
      <c r="H209" s="66" t="s">
        <v>2722</v>
      </c>
      <c r="I209" s="66" t="s">
        <v>3477</v>
      </c>
    </row>
    <row r="210" spans="1:9" x14ac:dyDescent="0.35">
      <c r="A210" s="66" t="s">
        <v>3064</v>
      </c>
      <c r="B210" s="89">
        <f>+Cs!B210+Fin!B210+Rat!B210+MM!B210+Lib!B210+Pry!B210+Hal!B210+Cem!B210+Par!B210+EDv!C185+Str!B210+Ele!B210+Wat!B210+San!B210+Ref!B210+Mayor!B210+CFO!B210+MB!B210+Infra!B210</f>
        <v>90000</v>
      </c>
      <c r="C210" s="89">
        <f>+Cs!C210+Fin!C210+Rat!C210+MM!C210+Lib!C210+Pry!C210+Hal!C210+Cem!C210+Par!C210+EDv!D185+Str!C210+Ele!C210+Wat!C210+San!C210+Ref!C210+Mayor!C210+CFO!C210+MB!C210+Infra!C210</f>
        <v>90000</v>
      </c>
      <c r="D210" s="89">
        <f>+Cs!D210+Fin!D210+Rat!D210+MM!D210+Lib!D210+Pry!D210+Hal!D210+Cem!D210+Par!D210+EDv!E185+Str!D210+Ele!D210+Wat!D210+San!D210+Ref!D210+Mayor!D210+CFO!D210+MB!D210+Infra!D210</f>
        <v>88514.28</v>
      </c>
      <c r="E210" s="235">
        <f>+Cs!E210+Fin!E210+Rat!E210+MM!E210+Lib!E210+Pry!E210+Hal!E210+Cem!E210+Par!E210+EDv!F185+Str!E210+Ele!E210+Wat!E210+San!E210+Ref!E210+Mayor!E210+CFO!E210+MB!E210+Infra!E210</f>
        <v>90000</v>
      </c>
      <c r="F210" s="235">
        <f>+Cs!F210+Fin!F210+Rat!F210+MM!F210+Lib!F210+Pry!F210+Hal!F210+Cem!F210+Par!F210+EDv!G185+Str!F210+Ele!F210+Wat!F210+San!F210+Ref!F210+Mayor!F210+CFO!F210+MB!F210+Infra!F210</f>
        <v>80000</v>
      </c>
      <c r="G210" s="235">
        <f>+Cs!G210+Fin!G210+Rat!G210+MM!G210+Lib!G210+Pry!G210+Hal!G210+Cem!G210+Par!G210+EDv!H185+Str!G210+Ele!G210+Wat!G210+San!G210+Ref!G210+Mayor!G210+CFO!G210+MB!G210+Infra!G210</f>
        <v>67000</v>
      </c>
      <c r="H210" s="66" t="s">
        <v>3063</v>
      </c>
      <c r="I210" s="66"/>
    </row>
    <row r="211" spans="1:9" x14ac:dyDescent="0.35">
      <c r="A211" s="66" t="s">
        <v>2734</v>
      </c>
      <c r="B211" s="89">
        <f>+Cs!B211+Fin!B211+Rat!B211+MM!B211+Lib!B211+Pry!B211+Hal!B211+Cem!B211+Par!B211+EDv!C186+Str!B211+Ele!B211+Wat!B211+San!B211+Ref!B211+Mayor!B211+CFO!B211+MB!B211+Infra!B211</f>
        <v>120000</v>
      </c>
      <c r="C211" s="89">
        <f>+Cs!C211+Fin!C211+Rat!C211+MM!C211+Lib!C211+Pry!C211+Hal!C211+Cem!C211+Par!C211+EDv!D186+Str!C211+Ele!C211+Wat!C211+San!C211+Ref!C211+Mayor!C211+CFO!C211+MB!C211+Infra!C211</f>
        <v>120000</v>
      </c>
      <c r="D211" s="89">
        <f>+Cs!D211+Fin!D211+Rat!D211+MM!D211+Lib!D211+Pry!D211+Hal!D211+Cem!D211+Par!D211+EDv!E186+Str!D211+Ele!D211+Wat!D211+San!D211+Ref!D211+Mayor!D211+CFO!D211+MB!D211+Infra!D211</f>
        <v>205066.08000000002</v>
      </c>
      <c r="E211" s="235">
        <f>+Cs!E211+Fin!E211+Rat!E211+MM!E211+Lib!E211+Pry!E211+Hal!E211+Cem!E211+Par!E211+EDv!F186+Str!E211+Ele!E211+Wat!E211+San!E211+Ref!E211+Mayor!E211+CFO!E211+MB!E211+Infra!E211</f>
        <v>209500</v>
      </c>
      <c r="F211" s="235">
        <f>+Cs!F211+Fin!F211+Rat!F211+MM!F211+Lib!F211+Pry!F211+Hal!F211+Cem!F211+Par!F211+EDv!G186+Str!F211+Ele!F211+Wat!F211+San!F211+Ref!F211+Mayor!F211+CFO!F211+MB!F211+Infra!F211</f>
        <v>219200</v>
      </c>
      <c r="G211" s="235">
        <f>+Cs!G211+Fin!G211+Rat!G211+MM!G211+Lib!G211+Pry!G211+Hal!G211+Cem!G211+Par!G211+EDv!H186+Str!G211+Ele!G211+Wat!G211+San!G211+Ref!G211+Mayor!G211+CFO!G211+MB!G211+Infra!G211</f>
        <v>229400</v>
      </c>
      <c r="H211" s="66" t="s">
        <v>2722</v>
      </c>
      <c r="I211" s="66"/>
    </row>
    <row r="212" spans="1:9" x14ac:dyDescent="0.35">
      <c r="A212" s="66" t="s">
        <v>3061</v>
      </c>
      <c r="B212" s="89">
        <f>+Cs!B212+Fin!B212+Rat!B212+MM!B212+Lib!B212+Pry!B212+Hal!B212+Cem!B212+Par!B212+EDv!C187+Str!B212+Ele!B212+Wat!B212+San!B212+Ref!B212+Mayor!B212+CFO!B212+MB!B212+Infra!B212</f>
        <v>222000</v>
      </c>
      <c r="C212" s="89">
        <f>+Cs!C212+Fin!C212+Rat!C212+MM!C212+Lib!C212+Pry!C212+Hal!C212+Cem!C212+Par!C212+EDv!D187+Str!C212+Ele!C212+Wat!C212+San!C212+Ref!C212+Mayor!C212+CFO!C212+MB!C212+Infra!C212</f>
        <v>222000</v>
      </c>
      <c r="D212" s="89">
        <f>+Cs!D212+Fin!D212+Rat!D212+MM!D212+Lib!D212+Pry!D212+Hal!D212+Cem!D212+Par!D212+EDv!E187+Str!D212+Ele!D212+Wat!D212+San!D212+Ref!D212+Mayor!D212+CFO!D212+MB!D212+Infra!D212</f>
        <v>59011</v>
      </c>
      <c r="E212" s="235">
        <f>+Cs!E212+Fin!E212+Rat!E212+MM!E212+Lib!E212+Pry!E212+Hal!E212+Cem!E212+Par!E212+EDv!F187+Str!E212+Ele!E212+Wat!E212+San!E212+Ref!E212+Mayor!E212+CFO!E212+MB!E212+Infra!E212</f>
        <v>61000</v>
      </c>
      <c r="F212" s="235">
        <f>+Cs!F212+Fin!F212+Rat!F212+MM!F212+Lib!F212+Pry!F212+Hal!F212+Cem!F212+Par!F212+EDv!G187+Str!F212+Ele!F212+Wat!F212+San!F212+Ref!F212+Mayor!F212+CFO!F212+MB!F212+Infra!F212</f>
        <v>63900</v>
      </c>
      <c r="G212" s="235">
        <f>+Cs!G212+Fin!G212+Rat!G212+MM!G212+Lib!G212+Pry!G212+Hal!G212+Cem!G212+Par!G212+EDv!H187+Str!G212+Ele!G212+Wat!G212+San!G212+Ref!G212+Mayor!G212+CFO!G212+MB!G212+Infra!G212</f>
        <v>66900</v>
      </c>
      <c r="H212" s="66" t="s">
        <v>2722</v>
      </c>
      <c r="I212" s="66" t="s">
        <v>3477</v>
      </c>
    </row>
    <row r="213" spans="1:9" x14ac:dyDescent="0.35">
      <c r="A213" s="66" t="s">
        <v>3060</v>
      </c>
      <c r="B213" s="89">
        <f>+Cs!B213+Fin!B213+Rat!B213+MM!B213+Lib!B213+Pry!B213+Hal!B213+Cem!B213+Par!B213+EDv!C188+Str!B213+Ele!B213+Wat!B213+San!B213+Ref!B213+Mayor!B213+CFO!B213+MB!B213+Infra!B213</f>
        <v>154000</v>
      </c>
      <c r="C213" s="89">
        <f>+Cs!C213+Fin!C213+Rat!C213+MM!C213+Lib!C213+Pry!C213+Hal!C213+Cem!C213+Par!C213+EDv!D188+Str!C213+Ele!C213+Wat!C213+San!C213+Ref!C213+Mayor!C213+CFO!C213+MB!C213+Infra!C213</f>
        <v>154000</v>
      </c>
      <c r="D213" s="89">
        <f>+Cs!D213+Fin!D213+Rat!D213+MM!D213+Lib!D213+Pry!D213+Hal!D213+Cem!D213+Par!D213+EDv!E188+Str!D213+Ele!D213+Wat!D213+San!D213+Ref!D213+Mayor!D213+CFO!D213+MB!D213+Infra!D213</f>
        <v>42156</v>
      </c>
      <c r="E213" s="235">
        <f>+Cs!E213+Fin!E213+Rat!E213+MM!E213+Lib!E213+Pry!E213+Hal!E213+Cem!E213+Par!E213+EDv!F188+Str!E213+Ele!E213+Wat!E213+San!E213+Ref!E213+Mayor!E213+CFO!E213+MB!E213+Infra!E213</f>
        <v>44000</v>
      </c>
      <c r="F213" s="235">
        <f>+Cs!F213+Fin!F213+Rat!F213+MM!F213+Lib!F213+Pry!F213+Hal!F213+Cem!F213+Par!F213+EDv!G188+Str!F213+Ele!F213+Wat!F213+San!F213+Ref!F213+Mayor!F213+CFO!F213+MB!F213+Infra!F213</f>
        <v>46100</v>
      </c>
      <c r="G213" s="235">
        <f>+Cs!G213+Fin!G213+Rat!G213+MM!G213+Lib!G213+Pry!G213+Hal!G213+Cem!G213+Par!G213+EDv!H188+Str!G213+Ele!G213+Wat!G213+San!G213+Ref!G213+Mayor!G213+CFO!G213+MB!G213+Infra!G213</f>
        <v>48300</v>
      </c>
      <c r="H213" s="66" t="s">
        <v>3063</v>
      </c>
      <c r="I213" s="66"/>
    </row>
    <row r="214" spans="1:9" x14ac:dyDescent="0.35">
      <c r="A214" s="66" t="s">
        <v>2891</v>
      </c>
      <c r="B214" s="89">
        <f>+Cs!B214+Fin!B214+Rat!B214+MM!B214+Lib!B214+Pry!B214+Hal!B214+Cem!B214+Par!B214+EDv!C189+Str!B214+Ele!B214+Wat!B214+San!B214+Ref!B214+Mayor!B214+CFO!B214+MB!B214+Infra!B214</f>
        <v>505900</v>
      </c>
      <c r="C214" s="89">
        <f>+Cs!C214+Fin!C214+Rat!C214+MM!C214+Lib!C214+Pry!C214+Hal!C214+Cem!C214+Par!C214+EDv!D189+Str!C214+Ele!C214+Wat!C214+San!C214+Ref!C214+Mayor!C214+CFO!C214+MB!C214+Infra!C214</f>
        <v>505900</v>
      </c>
      <c r="D214" s="89">
        <f>+Cs!D214+Fin!D214+Rat!D214+MM!D214+Lib!D214+Pry!D214+Hal!D214+Cem!D214+Par!D214+EDv!E189+Str!D214+Ele!D214+Wat!D214+San!D214+Ref!D214+Mayor!D214+CFO!D214+MB!D214+Infra!D214</f>
        <v>548020.88</v>
      </c>
      <c r="E214" s="235">
        <f>+Cs!E214+Fin!E214+Rat!E214+MM!E214+Lib!E214+Pry!E214+Hal!E214+Cem!E214+Par!E214+EDv!F189+Str!E214+Ele!E214+Wat!E214+San!E214+Ref!E214+Mayor!E214+CFO!E214+MB!E214+Infra!E214</f>
        <v>569900</v>
      </c>
      <c r="F214" s="235">
        <f>+Cs!F214+Fin!F214+Rat!F214+MM!F214+Lib!F214+Pry!F214+Hal!F214+Cem!F214+Par!F214+EDv!G189+Str!F214+Ele!F214+Wat!F214+San!F214+Ref!F214+Mayor!F214+CFO!F214+MB!F214+Infra!F214</f>
        <v>597600</v>
      </c>
      <c r="G214" s="235">
        <f>+Cs!G214+Fin!G214+Rat!G214+MM!G214+Lib!G214+Pry!G214+Hal!G214+Cem!G214+Par!G214+EDv!H189+Str!G214+Ele!G214+Wat!G214+San!G214+Ref!G214+Mayor!G214+CFO!G214+MB!G214+Infra!G214</f>
        <v>626800</v>
      </c>
      <c r="H214" s="66" t="s">
        <v>3492</v>
      </c>
      <c r="I214" s="66"/>
    </row>
    <row r="215" spans="1:9" x14ac:dyDescent="0.35">
      <c r="A215" s="66" t="s">
        <v>3478</v>
      </c>
      <c r="B215" s="89">
        <f>+Cs!B215+Fin!B215+Rat!B215+MM!B215+Lib!B215+Pry!B215+Hal!B215+Cem!B215+Par!B215+EDv!C190+Str!B215+Ele!B215+Wat!B215+San!B215+Ref!B215+Mayor!B215+CFO!B215+MB!B215+Infra!B215</f>
        <v>2000000</v>
      </c>
      <c r="C215" s="89">
        <f>+Cs!C215+Fin!C215+Rat!C215+MM!C215+Lib!C215+Pry!C215+Hal!C215+Cem!C215+Par!C215+EDv!D190+Str!C215+Ele!C215+Wat!C215+San!C215+Ref!C215+Mayor!C215+CFO!C215+MB!C215+Infra!C215</f>
        <v>2000000</v>
      </c>
      <c r="D215" s="89">
        <f>+Cs!D215+Fin!D215+Rat!D215+MM!D215+Lib!D215+Pry!D215+Hal!D215+Cem!D215+Par!D215+EDv!E190+Str!D215+Ele!D215+Wat!D215+San!D215+Ref!D215+Mayor!D215+CFO!D215+MB!D215+Infra!D215</f>
        <v>2000000</v>
      </c>
      <c r="E215" s="235">
        <f>+Cs!E215+Fin!E215+Rat!E215+MM!E215+Lib!E215+Pry!E215+Hal!E215+Cem!E215+Par!E215+EDv!F190+Str!E215+Ele!E215+Wat!E215+San!E215+Ref!E215+Mayor!E215+CFO!E215+MB!E215+Infra!E215</f>
        <v>0</v>
      </c>
      <c r="F215" s="235">
        <f>+Cs!F215+Fin!F215+Rat!F215+MM!F215+Lib!F215+Pry!F215+Hal!F215+Cem!F215+Par!F215+EDv!G190+Str!F215+Ele!F215+Wat!F215+San!F215+Ref!F215+Mayor!F215+CFO!F215+MB!F215+Infra!F215</f>
        <v>2000000</v>
      </c>
      <c r="G215" s="235">
        <f>+Cs!G215+Fin!G215+Rat!G215+MM!G215+Lib!G215+Pry!G215+Hal!G215+Cem!G215+Par!G215+EDv!H190+Str!G215+Ele!G215+Wat!G215+San!G215+Ref!G215+Mayor!G215+CFO!G215+MB!G215+Infra!G215</f>
        <v>2000000</v>
      </c>
      <c r="H215" s="66" t="s">
        <v>2887</v>
      </c>
      <c r="I215" s="66"/>
    </row>
    <row r="216" spans="1:9" x14ac:dyDescent="0.35">
      <c r="A216" s="66" t="s">
        <v>2851</v>
      </c>
      <c r="B216" s="89">
        <f>+Cs!B216+Fin!B216+Rat!B216+MM!B216+Lib!B216+Pry!B216+Hal!B216+Cem!B216+Par!B216+EDv!C191+Str!B216+Ele!B216+Wat!B216+San!B216+Ref!B216+Mayor!B216+CFO!B216+MB!B216+Infra!B216</f>
        <v>276900</v>
      </c>
      <c r="C216" s="89">
        <f>+Cs!C216+Fin!C216+Rat!C216+MM!C216+Lib!C216+Pry!C216+Hal!C216+Cem!C216+Par!C216+EDv!D191+Str!C216+Ele!C216+Wat!C216+San!C216+Ref!C216+Mayor!C216+CFO!C216+MB!C216+Infra!C216</f>
        <v>276900</v>
      </c>
      <c r="D216" s="89">
        <f>+Cs!D216+Fin!D216+Rat!D216+MM!D216+Lib!D216+Pry!D216+Hal!D216+Cem!D216+Par!D216+EDv!E191+Str!D216+Ele!D216+Wat!D216+San!D216+Ref!D216+Mayor!D216+CFO!D216+MB!D216+Infra!D216</f>
        <v>300900</v>
      </c>
      <c r="E216" s="235">
        <f>+Cs!E216+Fin!E216+Rat!E216+MM!E216+Lib!E216+Pry!E216+Hal!E216+Cem!E216+Par!E216+EDv!F191+Str!E216+Ele!E216+Wat!E216+San!E216+Ref!E216+Mayor!E216+CFO!E216+MB!E216+Infra!E216</f>
        <v>324000</v>
      </c>
      <c r="F216" s="235">
        <f>+Cs!F216+Fin!F216+Rat!F216+MM!F216+Lib!F216+Pry!F216+Hal!F216+Cem!F216+Par!F216+EDv!G191+Str!F216+Ele!F216+Wat!F216+San!F216+Ref!F216+Mayor!F216+CFO!F216+MB!F216+Infra!F216</f>
        <v>340600</v>
      </c>
      <c r="G216" s="235">
        <f>+Cs!G216+Fin!G216+Rat!G216+MM!G216+Lib!G216+Pry!G216+Hal!G216+Cem!G216+Par!G216+EDv!H191+Str!G216+Ele!G216+Wat!G216+San!G216+Ref!G216+Mayor!G216+CFO!G216+MB!G216+Infra!G216</f>
        <v>356300</v>
      </c>
      <c r="H216" s="66" t="s">
        <v>2722</v>
      </c>
      <c r="I216" s="66"/>
    </row>
    <row r="217" spans="1:9" x14ac:dyDescent="0.35">
      <c r="A217" s="66" t="s">
        <v>3047</v>
      </c>
      <c r="B217" s="89">
        <f>+Cs!B217+Fin!B217+Rat!B217+MM!B217+Lib!B217+Pry!B217+Hal!B217+Cem!B217+Par!B217+EDv!C192+Str!B217+Ele!B217+Wat!B217+San!B217+Ref!B217+Mayor!B217+CFO!B217+MB!B217+Infra!B217</f>
        <v>0</v>
      </c>
      <c r="C217" s="89">
        <f>+Cs!C217+Fin!C217+Rat!C217+MM!C217+Lib!C217+Pry!C217+Hal!C217+Cem!C217+Par!C217+EDv!D192+Str!C217+Ele!C217+Wat!C217+San!C217+Ref!C217+Mayor!C217+CFO!C217+MB!C217+Infra!C217</f>
        <v>0</v>
      </c>
      <c r="D217" s="89">
        <f>+Cs!D217+Fin!D217+Rat!D217+MM!D217+Lib!D217+Pry!D217+Hal!D217+Cem!D217+Par!D217+EDv!E192+Str!D217+Ele!D217+Wat!D217+San!D217+Ref!D217+Mayor!D217+CFO!D217+MB!D217+Infra!D217</f>
        <v>0</v>
      </c>
      <c r="E217" s="235">
        <f>+Cs!E217+Fin!E217+Rat!E217+MM!E217+Lib!E217+Pry!E217+Hal!E217+Cem!E217+Par!E217+EDv!F192+Str!E217+Ele!E217+Wat!E217+San!E217+Ref!E217+Mayor!E217+CFO!E217+MB!E217+Infra!E217</f>
        <v>0</v>
      </c>
      <c r="F217" s="235">
        <f>+Cs!F217+Fin!F217+Rat!F217+MM!F217+Lib!F217+Pry!F217+Hal!F217+Cem!F217+Par!F217+EDv!G192+Str!F217+Ele!F217+Wat!F217+San!F217+Ref!F217+Mayor!F217+CFO!F217+MB!F217+Infra!F217</f>
        <v>0</v>
      </c>
      <c r="G217" s="235">
        <f>+Cs!G217+Fin!G217+Rat!G217+MM!G217+Lib!G217+Pry!G217+Hal!G217+Cem!G217+Par!G217+EDv!H192+Str!G217+Ele!G217+Wat!G217+San!G217+Ref!G217+Mayor!G217+CFO!G217+MB!G217+Infra!G217</f>
        <v>0</v>
      </c>
      <c r="H217" s="66" t="s">
        <v>2722</v>
      </c>
      <c r="I217" s="66"/>
    </row>
    <row r="218" spans="1:9" x14ac:dyDescent="0.35">
      <c r="A218" s="66" t="s">
        <v>2853</v>
      </c>
      <c r="B218" s="89">
        <f>+Cs!B218+Fin!B218+Rat!B218+MM!B218+Lib!B218+Pry!B218+Hal!B218+Cem!B218+Par!B218+EDv!C193+Str!B218+Ele!B218+Wat!B218+San!B218+Ref!B218+Mayor!B218+CFO!B218+MB!B218+Infra!B218</f>
        <v>180000</v>
      </c>
      <c r="C218" s="89">
        <f>+Cs!C218+Fin!C218+Rat!C218+MM!C218+Lib!C218+Pry!C218+Hal!C218+Cem!C218+Par!C218+EDv!D193+Str!C218+Ele!C218+Wat!C218+San!C218+Ref!C218+Mayor!C218+CFO!C218+MB!C218+Infra!C218</f>
        <v>180000</v>
      </c>
      <c r="D218" s="89">
        <f>+Cs!D218+Fin!D218+Rat!D218+MM!D218+Lib!D218+Pry!D218+Hal!D218+Cem!D218+Par!D218+EDv!E193+Str!D218+Ele!D218+Wat!D218+San!D218+Ref!D218+Mayor!D218+CFO!D218+MB!D218+Infra!D218</f>
        <v>228519.51</v>
      </c>
      <c r="E218" s="235">
        <f>+Cs!E218+Fin!E218+Rat!E218+MM!E218+Lib!E218+Pry!E218+Hal!E218+Cem!E218+Par!E218+EDv!F193+Str!E218+Ele!E218+Wat!E218+San!E218+Ref!E218+Mayor!E218+CFO!E218+MB!E218+Infra!E218</f>
        <v>220000</v>
      </c>
      <c r="F218" s="235">
        <f>+Cs!F218+Fin!F218+Rat!F218+MM!F218+Lib!F218+Pry!F218+Hal!F218+Cem!F218+Par!F218+EDv!G193+Str!F218+Ele!F218+Wat!F218+San!F218+Ref!F218+Mayor!F218+CFO!F218+MB!F218+Infra!F218</f>
        <v>230100</v>
      </c>
      <c r="G218" s="235">
        <f>+Cs!G218+Fin!G218+Rat!G218+MM!G218+Lib!G218+Pry!G218+Hal!G218+Cem!G218+Par!G218+EDv!H193+Str!G218+Ele!G218+Wat!G218+San!G218+Ref!G218+Mayor!G218+CFO!G218+MB!G218+Infra!G218</f>
        <v>240700</v>
      </c>
      <c r="H218" s="66" t="s">
        <v>2723</v>
      </c>
      <c r="I218" s="66"/>
    </row>
    <row r="219" spans="1:9" x14ac:dyDescent="0.35">
      <c r="A219" s="66" t="s">
        <v>3043</v>
      </c>
      <c r="B219" s="89">
        <f>+Cs!B219+Fin!B219+Rat!B219+MM!B219+Lib!B219+Pry!B219+Hal!B219+Cem!B219+Par!B219+EDv!C194+Str!B219+Ele!B219+Wat!B219+San!B219+Ref!B219+Mayor!B219+CFO!B219+MB!B219+Infra!B219</f>
        <v>32200</v>
      </c>
      <c r="C219" s="89">
        <f>+Cs!C219+Fin!C219+Rat!C219+MM!C219+Lib!C219+Pry!C219+Hal!C219+Cem!C219+Par!C219+EDv!D194+Str!C219+Ele!C219+Wat!C219+San!C219+Ref!C219+Mayor!C219+CFO!C219+MB!C219+Infra!C219</f>
        <v>32200</v>
      </c>
      <c r="D219" s="89">
        <f>+Cs!D219+Fin!D219+Rat!D219+MM!D219+Lib!D219+Pry!D219+Hal!D219+Cem!D219+Par!D219+EDv!E194+Str!D219+Ele!D219+Wat!D219+San!D219+Ref!D219+Mayor!D219+CFO!D219+MB!D219+Infra!D219</f>
        <v>91456.37</v>
      </c>
      <c r="E219" s="235">
        <f>+Cs!E219+Fin!E219+Rat!E219+MM!E219+Lib!E219+Pry!E219+Hal!E219+Cem!E219+Par!E219+EDv!F194+Str!E219+Ele!E219+Wat!E219+San!E219+Ref!E219+Mayor!E219+CFO!E219+MB!E219+Infra!E219</f>
        <v>42000</v>
      </c>
      <c r="F219" s="235">
        <f>+Cs!F219+Fin!F219+Rat!F219+MM!F219+Lib!F219+Pry!F219+Hal!F219+Cem!F219+Par!F219+EDv!G194+Str!F219+Ele!F219+Wat!F219+San!F219+Ref!F219+Mayor!F219+CFO!F219+MB!F219+Infra!F219</f>
        <v>42000</v>
      </c>
      <c r="G219" s="235">
        <f>+Cs!G219+Fin!G219+Rat!G219+MM!G219+Lib!G219+Pry!G219+Hal!G219+Cem!G219+Par!G219+EDv!H194+Str!G219+Ele!G219+Wat!G219+San!G219+Ref!G219+Mayor!G219+CFO!G219+MB!G219+Infra!G219</f>
        <v>46000</v>
      </c>
      <c r="H219" s="66" t="s">
        <v>3495</v>
      </c>
      <c r="I219" s="66"/>
    </row>
    <row r="220" spans="1:9" x14ac:dyDescent="0.35">
      <c r="A220" s="66" t="s">
        <v>3045</v>
      </c>
      <c r="B220" s="89">
        <f>+Cs!B220+Fin!B220+Rat!B220+MM!B220+Lib!B220+Pry!B220+Hal!B220+Cem!B220+Par!B220+EDv!C195+Str!B220+Ele!B220+Wat!B220+San!B220+Ref!B220+Mayor!B220+CFO!B220+MB!B220+Infra!B220</f>
        <v>86500</v>
      </c>
      <c r="C220" s="89">
        <f>+Cs!C220+Fin!C220+Rat!C220+MM!C220+Lib!C220+Pry!C220+Hal!C220+Cem!C220+Par!C220+EDv!D195+Str!C220+Ele!C220+Wat!C220+San!C220+Ref!C220+Mayor!C220+CFO!C220+MB!C220+Infra!C220</f>
        <v>86500</v>
      </c>
      <c r="D220" s="89">
        <f>+Cs!D220+Fin!D220+Rat!D220+MM!D220+Lib!D220+Pry!D220+Hal!D220+Cem!D220+Par!D220+EDv!E195+Str!D220+Ele!D220+Wat!D220+San!D220+Ref!D220+Mayor!D220+CFO!D220+MB!D220+Infra!D220</f>
        <v>82459.66</v>
      </c>
      <c r="E220" s="235">
        <f>+Cs!E220+Fin!E220+Rat!E220+MM!E220+Lib!E220+Pry!E220+Hal!E220+Cem!E220+Par!E220+EDv!F195+Str!E220+Ele!E220+Wat!E220+San!E220+Ref!E220+Mayor!E220+CFO!E220+MB!E220+Infra!E220</f>
        <v>98500</v>
      </c>
      <c r="F220" s="235">
        <f>+Cs!F220+Fin!F220+Rat!F220+MM!F220+Lib!F220+Pry!F220+Hal!F220+Cem!F220+Par!F220+EDv!G195+Str!F220+Ele!F220+Wat!F220+San!F220+Ref!F220+Mayor!F220+CFO!F220+MB!F220+Infra!F220</f>
        <v>98500</v>
      </c>
      <c r="G220" s="235">
        <f>+Cs!G220+Fin!G220+Rat!G220+MM!G220+Lib!G220+Pry!G220+Hal!G220+Cem!G220+Par!G220+EDv!H195+Str!G220+Ele!G220+Wat!G220+San!G220+Ref!G220+Mayor!G220+CFO!G220+MB!G220+Infra!G220</f>
        <v>108000</v>
      </c>
      <c r="H220" s="66" t="s">
        <v>2722</v>
      </c>
      <c r="I220" s="66"/>
    </row>
    <row r="221" spans="1:9" x14ac:dyDescent="0.35">
      <c r="A221" s="66" t="s">
        <v>3044</v>
      </c>
      <c r="B221" s="89">
        <f>+Cs!B221+Fin!B221+Rat!B221+MM!B221+Lib!B221+Pry!B221+Hal!B221+Cem!B221+Par!B221+EDv!C196+Str!B221+Ele!B221+Wat!B221+San!B221+Ref!B221+Mayor!B221+CFO!B221+MB!B221+Infra!B221</f>
        <v>4000</v>
      </c>
      <c r="C221" s="89">
        <f>+Cs!C221+Fin!C221+Rat!C221+MM!C221+Lib!C221+Pry!C221+Hal!C221+Cem!C221+Par!C221+EDv!D196+Str!C221+Ele!C221+Wat!C221+San!C221+Ref!C221+Mayor!C221+CFO!C221+MB!C221+Infra!C221</f>
        <v>4000</v>
      </c>
      <c r="D221" s="89">
        <f>+Cs!D221+Fin!D221+Rat!D221+MM!D221+Lib!D221+Pry!D221+Hal!D221+Cem!D221+Par!D221+EDv!E196+Str!D221+Ele!D221+Wat!D221+San!D221+Ref!D221+Mayor!D221+CFO!D221+MB!D221+Infra!D221</f>
        <v>0</v>
      </c>
      <c r="E221" s="235">
        <f>+Cs!E221+Fin!E221+Rat!E221+MM!E221+Lib!E221+Pry!E221+Hal!E221+Cem!E221+Par!E221+EDv!F196+Str!E221+Ele!E221+Wat!E221+San!E221+Ref!E221+Mayor!E221+CFO!E221+MB!E221+Infra!E221</f>
        <v>4000</v>
      </c>
      <c r="F221" s="235">
        <f>+Cs!F221+Fin!F221+Rat!F221+MM!F221+Lib!F221+Pry!F221+Hal!F221+Cem!F221+Par!F221+EDv!G196+Str!F221+Ele!F221+Wat!F221+San!F221+Ref!F221+Mayor!F221+CFO!F221+MB!F221+Infra!F221</f>
        <v>4000</v>
      </c>
      <c r="G221" s="235">
        <f>+Cs!G221+Fin!G221+Rat!G221+MM!G221+Lib!G221+Pry!G221+Hal!G221+Cem!G221+Par!G221+EDv!H196+Str!G221+Ele!G221+Wat!G221+San!G221+Ref!G221+Mayor!G221+CFO!G221+MB!G221+Infra!G221</f>
        <v>4000</v>
      </c>
      <c r="H221" s="66" t="s">
        <v>2722</v>
      </c>
      <c r="I221" s="66"/>
    </row>
    <row r="222" spans="1:9" x14ac:dyDescent="0.35">
      <c r="A222" s="66" t="s">
        <v>2916</v>
      </c>
      <c r="B222" s="89">
        <f>+Cs!B222+Fin!B222+Rat!B222+MM!B222+Lib!B222+Pry!B222+Hal!B222+Cem!B222+Par!B222+EDv!C197+Str!B222+Ele!B222+Wat!B222+San!B222+Ref!B222+Mayor!B222+CFO!B222+MB!B222+Infra!B222</f>
        <v>53000</v>
      </c>
      <c r="C222" s="89">
        <f>+Cs!C222+Fin!C222+Rat!C222+MM!C222+Lib!C222+Pry!C222+Hal!C222+Cem!C222+Par!C222+EDv!D197+Str!C222+Ele!C222+Wat!C222+San!C222+Ref!C222+Mayor!C222+CFO!C222+MB!C222+Infra!C222</f>
        <v>53000</v>
      </c>
      <c r="D222" s="89">
        <f>+Cs!D222+Fin!D222+Rat!D222+MM!D222+Lib!D222+Pry!D222+Hal!D222+Cem!D222+Par!D222+EDv!E197+Str!D222+Ele!D222+Wat!D222+San!D222+Ref!D222+Mayor!D222+CFO!D222+MB!D222+Infra!D222</f>
        <v>53550</v>
      </c>
      <c r="E222" s="235">
        <f>+Cs!E222+Fin!E222+Rat!E222+MM!E222+Lib!E222+Pry!E222+Hal!E222+Cem!E222+Par!E222+EDv!F197+Str!E222+Ele!E222+Wat!E222+San!E222+Ref!E222+Mayor!E222+CFO!E222+MB!E222+Infra!E222</f>
        <v>32200</v>
      </c>
      <c r="F222" s="235">
        <f>+Cs!F222+Fin!F222+Rat!F222+MM!F222+Lib!F222+Pry!F222+Hal!F222+Cem!F222+Par!F222+EDv!G197+Str!F222+Ele!F222+Wat!F222+San!F222+Ref!F222+Mayor!F222+CFO!F222+MB!F222+Infra!F222</f>
        <v>33900</v>
      </c>
      <c r="G222" s="235">
        <f>+Cs!G222+Fin!G222+Rat!G222+MM!G222+Lib!G222+Pry!G222+Hal!G222+Cem!G222+Par!G222+EDv!H197+Str!G222+Ele!G222+Wat!G222+San!G222+Ref!G222+Mayor!G222+CFO!G222+MB!G222+Infra!G222</f>
        <v>35700</v>
      </c>
      <c r="H222" s="66" t="s">
        <v>2722</v>
      </c>
      <c r="I222" s="66"/>
    </row>
    <row r="223" spans="1:9" x14ac:dyDescent="0.35">
      <c r="A223" s="66" t="s">
        <v>2856</v>
      </c>
      <c r="B223" s="89">
        <f>+Cs!B223+Fin!B223+Rat!B223+MM!B223+Lib!B223+Pry!B223+Hal!B223+Cem!B223+Par!B223+EDv!C198+Str!B223+Ele!B223+Wat!B223+San!B223+Ref!B223+Mayor!B223+CFO!B223+MB!B223+Infra!B223</f>
        <v>0</v>
      </c>
      <c r="C223" s="89">
        <f>+Cs!C223+Fin!C223+Rat!C223+MM!C223+Lib!C223+Pry!C223+Hal!C223+Cem!C223+Par!C223+EDv!D198+Str!C223+Ele!C223+Wat!C223+San!C223+Ref!C223+Mayor!C223+CFO!C223+MB!C223+Infra!C223</f>
        <v>0</v>
      </c>
      <c r="D223" s="89">
        <f>+Cs!D223+Fin!D223+Rat!D223+MM!D223+Lib!D223+Pry!D223+Hal!D223+Cem!D223+Par!D223+EDv!E198+Str!D223+Ele!D223+Wat!D223+San!D223+Ref!D223+Mayor!D223+CFO!D223+MB!D223+Infra!D223</f>
        <v>0</v>
      </c>
      <c r="E223" s="235">
        <f>+Cs!E223+Fin!E223+Rat!E223+MM!E223+Lib!E223+Pry!E223+Hal!E223+Cem!E223+Par!E223+EDv!F198+Str!E223+Ele!E223+Wat!E223+San!E223+Ref!E223+Mayor!E223+CFO!E223+MB!E223+Infra!E223</f>
        <v>0</v>
      </c>
      <c r="F223" s="235">
        <f>+Cs!F223+Fin!F223+Rat!F223+MM!F223+Lib!F223+Pry!F223+Hal!F223+Cem!F223+Par!F223+EDv!G198+Str!F223+Ele!F223+Wat!F223+San!F223+Ref!F223+Mayor!F223+CFO!F223+MB!F223+Infra!F223</f>
        <v>0</v>
      </c>
      <c r="G223" s="235">
        <f>+Cs!G223+Fin!G223+Rat!G223+MM!G223+Lib!G223+Pry!G223+Hal!G223+Cem!G223+Par!G223+EDv!H198+Str!G223+Ele!G223+Wat!G223+San!G223+Ref!G223+Mayor!G223+CFO!G223+MB!G223+Infra!G223</f>
        <v>0</v>
      </c>
      <c r="H223" s="66" t="s">
        <v>3479</v>
      </c>
      <c r="I223" s="66"/>
    </row>
    <row r="224" spans="1:9" x14ac:dyDescent="0.35">
      <c r="A224" s="66" t="s">
        <v>2987</v>
      </c>
      <c r="B224" s="89">
        <f>+Cs!B224+Fin!B224+Rat!B224+MM!B224+Lib!B224+Pry!B224+Hal!B224+Cem!B224+Par!B224+EDv!C199+Str!B224+Ele!B224+Wat!B224+San!B224+Ref!B224+Mayor!B224+CFO!B224+MB!B224+Infra!B224</f>
        <v>0</v>
      </c>
      <c r="C224" s="89">
        <f>+Cs!C224+Fin!C224+Rat!C224+MM!C224+Lib!C224+Pry!C224+Hal!C224+Cem!C224+Par!C224+EDv!D199+Str!C224+Ele!C224+Wat!C224+San!C224+Ref!C224+Mayor!C224+CFO!C224+MB!C224+Infra!C224</f>
        <v>0</v>
      </c>
      <c r="D224" s="89">
        <f>+Cs!D224+Fin!D224+Rat!D224+MM!D224+Lib!D224+Pry!D224+Hal!D224+Cem!D224+Par!D224+EDv!E199+Str!D224+Ele!D224+Wat!D224+San!D224+Ref!D224+Mayor!D224+CFO!D224+MB!D224+Infra!D224</f>
        <v>0</v>
      </c>
      <c r="E224" s="235">
        <f>+Cs!E224+Fin!E224+Rat!E224+MM!E224+Lib!E224+Pry!E224+Hal!E224+Cem!E224+Par!E224+EDv!F199+Str!E224+Ele!E224+Wat!E224+San!E224+Ref!E224+Mayor!E224+CFO!E224+MB!E224+Infra!E224</f>
        <v>0</v>
      </c>
      <c r="F224" s="235">
        <f>+Cs!F224+Fin!F224+Rat!F224+MM!F224+Lib!F224+Pry!F224+Hal!F224+Cem!F224+Par!F224+EDv!G199+Str!F224+Ele!F224+Wat!F224+San!F224+Ref!F224+Mayor!F224+CFO!F224+MB!F224+Infra!F224</f>
        <v>0</v>
      </c>
      <c r="G224" s="235">
        <f>+Cs!G224+Fin!G224+Rat!G224+MM!G224+Lib!G224+Pry!G224+Hal!G224+Cem!G224+Par!G224+EDv!H199+Str!G224+Ele!G224+Wat!G224+San!G224+Ref!G224+Mayor!G224+CFO!G224+MB!G224+Infra!G224</f>
        <v>0</v>
      </c>
      <c r="H224" s="66" t="s">
        <v>2722</v>
      </c>
      <c r="I224" s="66"/>
    </row>
    <row r="225" spans="1:9" x14ac:dyDescent="0.35">
      <c r="A225" s="66" t="s">
        <v>3038</v>
      </c>
      <c r="B225" s="89">
        <f>+Cs!B225+Fin!B225+Rat!B225+MM!B225+Lib!B225+Pry!B225+Hal!B225+Cem!B225+Par!B225+EDv!C200+Str!B225+Ele!B225+Wat!B225+San!B225+Ref!B225+Mayor!B225+CFO!B225+MB!B225+Infra!B225</f>
        <v>70600</v>
      </c>
      <c r="C225" s="89">
        <f>+Cs!C225+Fin!C225+Rat!C225+MM!C225+Lib!C225+Pry!C225+Hal!C225+Cem!C225+Par!C225+EDv!D200+Str!C225+Ele!C225+Wat!C225+San!C225+Ref!C225+Mayor!C225+CFO!C225+MB!C225+Infra!C225</f>
        <v>70600</v>
      </c>
      <c r="D225" s="89">
        <f>+Cs!D225+Fin!D225+Rat!D225+MM!D225+Lib!D225+Pry!D225+Hal!D225+Cem!D225+Par!D225+EDv!E200+Str!D225+Ele!D225+Wat!D225+San!D225+Ref!D225+Mayor!D225+CFO!D225+MB!D225+Infra!D225</f>
        <v>27491.77</v>
      </c>
      <c r="E225" s="235">
        <f>+Cs!E225+Fin!E225+Rat!E225+MM!E225+Lib!E225+Pry!E225+Hal!E225+Cem!E225+Par!E225+EDv!F200+Str!E225+Ele!E225+Wat!E225+San!E225+Ref!E225+Mayor!E225+CFO!E225+MB!E225+Infra!E225</f>
        <v>27100</v>
      </c>
      <c r="F225" s="235">
        <f>+Cs!F225+Fin!F225+Rat!F225+MM!F225+Lib!F225+Pry!F225+Hal!F225+Cem!F225+Par!F225+EDv!G200+Str!F225+Ele!F225+Wat!F225+San!F225+Ref!F225+Mayor!F225+CFO!F225+MB!F225+Infra!F225</f>
        <v>25600</v>
      </c>
      <c r="G225" s="235">
        <f>+Cs!G225+Fin!G225+Rat!G225+MM!G225+Lib!G225+Pry!G225+Hal!G225+Cem!G225+Par!G225+EDv!H200+Str!G225+Ele!G225+Wat!G225+San!G225+Ref!G225+Mayor!G225+CFO!G225+MB!G225+Infra!G225</f>
        <v>29500</v>
      </c>
      <c r="H225" s="66" t="s">
        <v>2723</v>
      </c>
      <c r="I225" s="66" t="s">
        <v>3400</v>
      </c>
    </row>
    <row r="226" spans="1:9" x14ac:dyDescent="0.35">
      <c r="A226" s="66" t="s">
        <v>3031</v>
      </c>
      <c r="B226" s="89">
        <f>+Cs!B226+Fin!B226+Rat!B226+MM!B226+Lib!B226+Pry!B226+Hal!B226+Cem!B226+Par!B226+EDv!C201+Str!B226+Ele!B226+Wat!B226+San!B226+Ref!B226+Mayor!B226+CFO!B226+MB!B226+Infra!B226</f>
        <v>305000</v>
      </c>
      <c r="C226" s="89">
        <f>+Cs!C226+Fin!C226+Rat!C226+MM!C226+Lib!C226+Pry!C226+Hal!C226+Cem!C226+Par!C226+EDv!D201+Str!C226+Ele!C226+Wat!C226+San!C226+Ref!C226+Mayor!C226+CFO!C226+MB!C226+Infra!C226</f>
        <v>205000</v>
      </c>
      <c r="D226" s="89">
        <f>+Cs!D226+Fin!D226+Rat!D226+MM!D226+Lib!D226+Pry!D226+Hal!D226+Cem!D226+Par!D226+EDv!E201+Str!D226+Ele!D226+Wat!D226+San!D226+Ref!D226+Mayor!D226+CFO!D226+MB!D226+Infra!D226</f>
        <v>312409.48</v>
      </c>
      <c r="E226" s="235">
        <f>+Cs!E226+Fin!E226+Rat!E226+MM!E226+Lib!E226+Pry!E226+Hal!E226+Cem!E226+Par!E226+EDv!F201+Str!E226+Ele!E226+Wat!E226+San!E226+Ref!E226+Mayor!E226+CFO!E226+MB!E226+Infra!E226</f>
        <v>305000</v>
      </c>
      <c r="F226" s="235">
        <f>+Cs!F226+Fin!F226+Rat!F226+MM!F226+Lib!F226+Pry!F226+Hal!F226+Cem!F226+Par!F226+EDv!G201+Str!F226+Ele!F226+Wat!F226+San!F226+Ref!F226+Mayor!F226+CFO!F226+MB!F226+Infra!F226</f>
        <v>321400</v>
      </c>
      <c r="G226" s="235">
        <f>+Cs!G226+Fin!G226+Rat!G226+MM!G226+Lib!G226+Pry!G226+Hal!G226+Cem!G226+Par!G226+EDv!H201+Str!G226+Ele!G226+Wat!G226+San!G226+Ref!G226+Mayor!G226+CFO!G226+MB!G226+Infra!G226</f>
        <v>338800</v>
      </c>
      <c r="H226" s="66" t="s">
        <v>2723</v>
      </c>
      <c r="I226" s="66" t="s">
        <v>3400</v>
      </c>
    </row>
    <row r="227" spans="1:9" x14ac:dyDescent="0.35">
      <c r="A227" s="66" t="s">
        <v>3035</v>
      </c>
      <c r="B227" s="89">
        <f>+Cs!B227+Fin!B227+Rat!B227+MM!B227+Lib!B227+Pry!B227+Hal!B227+Cem!B227+Par!B227+EDv!C202+Str!B227+Ele!B227+Wat!B227+San!B227+Ref!B227+Mayor!B227+CFO!B227+MB!B227+Infra!B227</f>
        <v>114500</v>
      </c>
      <c r="C227" s="89">
        <f>+Cs!C227+Fin!C227+Rat!C227+MM!C227+Lib!C227+Pry!C227+Hal!C227+Cem!C227+Par!C227+EDv!D202+Str!C227+Ele!C227+Wat!C227+San!C227+Ref!C227+Mayor!C227+CFO!C227+MB!C227+Infra!C227</f>
        <v>114500</v>
      </c>
      <c r="D227" s="89">
        <f>+Cs!D227+Fin!D227+Rat!D227+MM!D227+Lib!D227+Pry!D227+Hal!D227+Cem!D227+Par!D227+EDv!E202+Str!D227+Ele!D227+Wat!D227+San!D227+Ref!D227+Mayor!D227+CFO!D227+MB!D227+Infra!D227</f>
        <v>98396.530000000013</v>
      </c>
      <c r="E227" s="235">
        <f>+Cs!E227+Fin!E227+Rat!E227+MM!E227+Lib!E227+Pry!E227+Hal!E227+Cem!E227+Par!E227+EDv!F202+Str!E227+Ele!E227+Wat!E227+San!E227+Ref!E227+Mayor!E227+CFO!E227+MB!E227+Infra!E227</f>
        <v>124500</v>
      </c>
      <c r="F227" s="235">
        <f>+Cs!F227+Fin!F227+Rat!F227+MM!F227+Lib!F227+Pry!F227+Hal!F227+Cem!F227+Par!F227+EDv!G202+Str!F227+Ele!F227+Wat!F227+San!F227+Ref!F227+Mayor!F227+CFO!F227+MB!F227+Infra!F227</f>
        <v>128300</v>
      </c>
      <c r="G227" s="235">
        <f>+Cs!G227+Fin!G227+Rat!G227+MM!G227+Lib!G227+Pry!G227+Hal!G227+Cem!G227+Par!G227+EDv!H202+Str!G227+Ele!G227+Wat!G227+San!G227+Ref!G227+Mayor!G227+CFO!G227+MB!G227+Infra!G227</f>
        <v>193800</v>
      </c>
      <c r="H227" s="66" t="s">
        <v>2723</v>
      </c>
      <c r="I227" s="66" t="s">
        <v>3400</v>
      </c>
    </row>
    <row r="228" spans="1:9" x14ac:dyDescent="0.35">
      <c r="A228" s="66" t="s">
        <v>3026</v>
      </c>
      <c r="B228" s="89">
        <f>+Cs!B228+Fin!B228+Rat!B228+MM!B228+Lib!B228+Pry!B228+Hal!B228+Cem!B228+Par!B228+EDv!C203+Str!B228+Ele!B228+Wat!B228+San!B228+Ref!B228+Mayor!B228+CFO!B228+MB!B228+Infra!B228</f>
        <v>12800</v>
      </c>
      <c r="C228" s="89">
        <f>+Cs!C228+Fin!C228+Rat!C228+MM!C228+Lib!C228+Pry!C228+Hal!C228+Cem!C228+Par!C228+EDv!D203+Str!C228+Ele!C228+Wat!C228+San!C228+Ref!C228+Mayor!C228+CFO!C228+MB!C228+Infra!C228</f>
        <v>12800</v>
      </c>
      <c r="D228" s="89">
        <f>+Cs!D228+Fin!D228+Rat!D228+MM!D228+Lib!D228+Pry!D228+Hal!D228+Cem!D228+Par!D228+EDv!E203+Str!D228+Ele!D228+Wat!D228+San!D228+Ref!D228+Mayor!D228+CFO!D228+MB!D228+Infra!D228</f>
        <v>51294.3</v>
      </c>
      <c r="E228" s="235">
        <f>+Cs!E228+Fin!E228+Rat!E228+MM!E228+Lib!E228+Pry!E228+Hal!E228+Cem!E228+Par!E228+EDv!F203+Str!E228+Ele!E228+Wat!E228+San!E228+Ref!E228+Mayor!E228+CFO!E228+MB!E228+Infra!E228</f>
        <v>19000</v>
      </c>
      <c r="F228" s="235">
        <f>+Cs!F228+Fin!F228+Rat!F228+MM!F228+Lib!F228+Pry!F228+Hal!F228+Cem!F228+Par!F228+EDv!G203+Str!F228+Ele!F228+Wat!F228+San!F228+Ref!F228+Mayor!F228+CFO!F228+MB!F228+Infra!F228</f>
        <v>19900</v>
      </c>
      <c r="G228" s="235">
        <f>+Cs!G228+Fin!G228+Rat!G228+MM!G228+Lib!G228+Pry!G228+Hal!G228+Cem!G228+Par!G228+EDv!H203+Str!G228+Ele!G228+Wat!G228+San!G228+Ref!G228+Mayor!G228+CFO!G228+MB!G228+Infra!G228</f>
        <v>20800</v>
      </c>
      <c r="H228" s="66" t="s">
        <v>2723</v>
      </c>
      <c r="I228" s="66" t="s">
        <v>3400</v>
      </c>
    </row>
    <row r="229" spans="1:9" x14ac:dyDescent="0.35">
      <c r="A229" s="66" t="s">
        <v>3027</v>
      </c>
      <c r="B229" s="89">
        <f>+Cs!B229+Fin!B229+Rat!B229+MM!B229+Lib!B229+Pry!B229+Hal!B229+Cem!B229+Par!B229+EDv!C204+Str!B229+Ele!B229+Wat!B229+San!B229+Ref!B229+Mayor!B229+CFO!B229+MB!B229+Infra!B229</f>
        <v>205000</v>
      </c>
      <c r="C229" s="89">
        <f>+Cs!C229+Fin!C229+Rat!C229+MM!C229+Lib!C229+Pry!C229+Hal!C229+Cem!C229+Par!C229+EDv!D204+Str!C229+Ele!C229+Wat!C229+San!C229+Ref!C229+Mayor!C229+CFO!C229+MB!C229+Infra!C229</f>
        <v>205000</v>
      </c>
      <c r="D229" s="89">
        <f>+Cs!D229+Fin!D229+Rat!D229+MM!D229+Lib!D229+Pry!D229+Hal!D229+Cem!D229+Par!D229+EDv!E204+Str!D229+Ele!D229+Wat!D229+San!D229+Ref!D229+Mayor!D229+CFO!D229+MB!D229+Infra!D229</f>
        <v>200517.5</v>
      </c>
      <c r="E229" s="235">
        <f>+Cs!E229+Fin!E229+Rat!E229+MM!E229+Lib!E229+Pry!E229+Hal!E229+Cem!E229+Par!E229+EDv!F204+Str!E229+Ele!E229+Wat!E229+San!E229+Ref!E229+Mayor!E229+CFO!E229+MB!E229+Infra!E229</f>
        <v>205000</v>
      </c>
      <c r="F229" s="235">
        <f>+Cs!F229+Fin!F229+Rat!F229+MM!F229+Lib!F229+Pry!F229+Hal!F229+Cem!F229+Par!F229+EDv!G204+Str!F229+Ele!F229+Wat!F229+San!F229+Ref!F229+Mayor!F229+CFO!F229+MB!F229+Infra!F229</f>
        <v>216300</v>
      </c>
      <c r="G229" s="235">
        <f>+Cs!G229+Fin!G229+Rat!G229+MM!G229+Lib!G229+Pry!G229+Hal!G229+Cem!G229+Par!G229+EDv!H204+Str!G229+Ele!G229+Wat!G229+San!G229+Ref!G229+Mayor!G229+CFO!G229+MB!G229+Infra!G229</f>
        <v>205900</v>
      </c>
      <c r="H229" s="66" t="s">
        <v>2723</v>
      </c>
      <c r="I229" s="66" t="s">
        <v>3400</v>
      </c>
    </row>
    <row r="230" spans="1:9" x14ac:dyDescent="0.35">
      <c r="A230" s="66" t="s">
        <v>3025</v>
      </c>
      <c r="B230" s="89">
        <f>+Cs!B230+Fin!B230+Rat!B230+MM!B230+Lib!B230+Pry!B230+Hal!B230+Cem!B230+Par!B230+EDv!C205+Str!B230+Ele!B230+Wat!B230+San!B230+Ref!B230+Mayor!B230+CFO!B230+MB!B230+Infra!B230</f>
        <v>145000</v>
      </c>
      <c r="C230" s="89">
        <f>+Cs!C230+Fin!C230+Rat!C230+MM!C230+Lib!C230+Pry!C230+Hal!C230+Cem!C230+Par!C230+EDv!D205+Str!C230+Ele!C230+Wat!C230+San!C230+Ref!C230+Mayor!C230+CFO!C230+MB!C230+Infra!C230</f>
        <v>122000</v>
      </c>
      <c r="D230" s="89">
        <f>+Cs!D230+Fin!D230+Rat!D230+MM!D230+Lib!D230+Pry!D230+Hal!D230+Cem!D230+Par!D230+EDv!E205+Str!D230+Ele!D230+Wat!D230+San!D230+Ref!D230+Mayor!D230+CFO!D230+MB!D230+Infra!D230</f>
        <v>134701.64000000001</v>
      </c>
      <c r="E230" s="235">
        <f>+Cs!E230+Fin!E230+Rat!E230+MM!E230+Lib!E230+Pry!E230+Hal!E230+Cem!E230+Par!E230+EDv!F205+Str!E230+Ele!E230+Wat!E230+San!E230+Ref!E230+Mayor!E230+CFO!E230+MB!E230+Infra!E230</f>
        <v>145000</v>
      </c>
      <c r="F230" s="235">
        <f>+Cs!F230+Fin!F230+Rat!F230+MM!F230+Lib!F230+Pry!F230+Hal!F230+Cem!F230+Par!F230+EDv!G205+Str!F230+Ele!F230+Wat!F230+San!F230+Ref!F230+Mayor!F230+CFO!F230+MB!F230+Infra!F230</f>
        <v>150400</v>
      </c>
      <c r="G230" s="235">
        <f>+Cs!G230+Fin!G230+Rat!G230+MM!G230+Lib!G230+Pry!G230+Hal!G230+Cem!G230+Par!G230+EDv!H205+Str!G230+Ele!G230+Wat!G230+San!G230+Ref!G230+Mayor!G230+CFO!G230+MB!G230+Infra!G230</f>
        <v>156100</v>
      </c>
      <c r="H230" s="66" t="s">
        <v>2723</v>
      </c>
      <c r="I230" s="66" t="s">
        <v>3400</v>
      </c>
    </row>
    <row r="231" spans="1:9" x14ac:dyDescent="0.35">
      <c r="A231" s="66" t="s">
        <v>3028</v>
      </c>
      <c r="B231" s="89">
        <f>+Cs!B231+Fin!B231+Rat!B231+MM!B231+Lib!B231+Pry!B231+Hal!B231+Cem!B231+Par!B231+EDv!C206+Str!B231+Ele!B231+Wat!B231+San!B231+Ref!B231+Mayor!B231+CFO!B231+MB!B231+Infra!B231</f>
        <v>0</v>
      </c>
      <c r="C231" s="89">
        <f>+Cs!C231+Fin!C231+Rat!C231+MM!C231+Lib!C231+Pry!C231+Hal!C231+Cem!C231+Par!C231+EDv!D206+Str!C231+Ele!C231+Wat!C231+San!C231+Ref!C231+Mayor!C231+CFO!C231+MB!C231+Infra!C231</f>
        <v>0</v>
      </c>
      <c r="D231" s="89">
        <f>+Cs!D231+Fin!D231+Rat!D231+MM!D231+Lib!D231+Pry!D231+Hal!D231+Cem!D231+Par!D231+EDv!E206+Str!D231+Ele!D231+Wat!D231+San!D231+Ref!D231+Mayor!D231+CFO!D231+MB!D231+Infra!D231</f>
        <v>0</v>
      </c>
      <c r="E231" s="235">
        <f>+Cs!E231+Fin!E231+Rat!E231+MM!E231+Lib!E231+Pry!E231+Hal!E231+Cem!E231+Par!E231+EDv!F206+Str!E231+Ele!E231+Wat!E231+San!E231+Ref!E231+Mayor!E231+CFO!E231+MB!E231+Infra!E231</f>
        <v>0</v>
      </c>
      <c r="F231" s="235">
        <f>+Cs!F231+Fin!F231+Rat!F231+MM!F231+Lib!F231+Pry!F231+Hal!F231+Cem!F231+Par!F231+EDv!G206+Str!F231+Ele!F231+Wat!F231+San!F231+Ref!F231+Mayor!F231+CFO!F231+MB!F231+Infra!F231</f>
        <v>0</v>
      </c>
      <c r="G231" s="235">
        <f>+Cs!G231+Fin!G231+Rat!G231+MM!G231+Lib!G231+Pry!G231+Hal!G231+Cem!G231+Par!G231+EDv!H206+Str!G231+Ele!G231+Wat!G231+San!G231+Ref!G231+Mayor!G231+CFO!G231+MB!G231+Infra!G231</f>
        <v>0</v>
      </c>
      <c r="H231" s="66" t="s">
        <v>2723</v>
      </c>
      <c r="I231" s="66" t="s">
        <v>3400</v>
      </c>
    </row>
    <row r="232" spans="1:9" x14ac:dyDescent="0.35">
      <c r="A232" s="66" t="s">
        <v>3036</v>
      </c>
      <c r="B232" s="89">
        <f>+Cs!B232+Fin!B232+Rat!B232+MM!B232+Lib!B232+Pry!B232+Hal!B232+Cem!B232+Par!B232+EDv!C207+Str!B232+Ele!B232+Wat!B232+San!B232+Ref!B232+Mayor!B232+CFO!B232+MB!B232+Infra!B232</f>
        <v>257800</v>
      </c>
      <c r="C232" s="89">
        <f>+Cs!C232+Fin!C232+Rat!C232+MM!C232+Lib!C232+Pry!C232+Hal!C232+Cem!C232+Par!C232+EDv!D207+Str!C232+Ele!C232+Wat!C232+San!C232+Ref!C232+Mayor!C232+CFO!C232+MB!C232+Infra!C232</f>
        <v>107800</v>
      </c>
      <c r="D232" s="89">
        <f>+Cs!D232+Fin!D232+Rat!D232+MM!D232+Lib!D232+Pry!D232+Hal!D232+Cem!D232+Par!D232+EDv!E207+Str!D232+Ele!D232+Wat!D232+San!D232+Ref!D232+Mayor!D232+CFO!D232+MB!D232+Infra!D232</f>
        <v>358055.61</v>
      </c>
      <c r="E232" s="235">
        <f>+Cs!E232+Fin!E232+Rat!E232+MM!E232+Lib!E232+Pry!E232+Hal!E232+Cem!E232+Par!E232+EDv!F207+Str!E232+Ele!E232+Wat!E232+San!E232+Ref!E232+Mayor!E232+CFO!E232+MB!E232+Infra!E232</f>
        <v>387900</v>
      </c>
      <c r="F232" s="235">
        <f>+Cs!F232+Fin!F232+Rat!F232+MM!F232+Lib!F232+Pry!F232+Hal!F232+Cem!F232+Par!F232+EDv!G207+Str!F232+Ele!F232+Wat!F232+San!F232+Ref!F232+Mayor!F232+CFO!F232+MB!F232+Infra!F232</f>
        <v>610200</v>
      </c>
      <c r="G232" s="235">
        <f>+Cs!G232+Fin!G232+Rat!G232+MM!G232+Lib!G232+Pry!G232+Hal!G232+Cem!G232+Par!G232+EDv!H207+Str!G232+Ele!G232+Wat!G232+San!G232+Ref!G232+Mayor!G232+CFO!G232+MB!G232+Infra!G232</f>
        <v>414800</v>
      </c>
      <c r="H232" s="66" t="s">
        <v>2723</v>
      </c>
      <c r="I232" s="66" t="s">
        <v>3400</v>
      </c>
    </row>
    <row r="233" spans="1:9" x14ac:dyDescent="0.35">
      <c r="A233" s="66" t="s">
        <v>3057</v>
      </c>
      <c r="B233" s="89">
        <f>+Cs!B233+Fin!B233+Rat!B233+MM!B233+Lib!B233+Pry!B233+Hal!B233+Cem!B233+Par!B233+EDv!C208+Str!B233+Ele!B233+Wat!B233+San!B233+Ref!B233+Mayor!B233+CFO!B233+MB!B233+Infra!B233</f>
        <v>0</v>
      </c>
      <c r="C233" s="89">
        <f>+Cs!C233+Fin!C233+Rat!C233+MM!C233+Lib!C233+Pry!C233+Hal!C233+Cem!C233+Par!C233+EDv!D208+Str!C233+Ele!C233+Wat!C233+San!C233+Ref!C233+Mayor!C233+CFO!C233+MB!C233+Infra!C233</f>
        <v>0</v>
      </c>
      <c r="D233" s="89">
        <f>+Cs!D233+Fin!D233+Rat!D233+MM!D233+Lib!D233+Pry!D233+Hal!D233+Cem!D233+Par!D233+EDv!E208+Str!D233+Ele!D233+Wat!D233+San!D233+Ref!D233+Mayor!D233+CFO!D233+MB!D233+Infra!D233</f>
        <v>0</v>
      </c>
      <c r="E233" s="235">
        <f>+Cs!E233+Fin!E233+Rat!E233+MM!E233+Lib!E233+Pry!E233+Hal!E233+Cem!E233+Par!E233+EDv!F208+Str!E233+Ele!E233+Wat!E233+San!E233+Ref!E233+Mayor!E233+CFO!E233+MB!E233+Infra!E233</f>
        <v>0</v>
      </c>
      <c r="F233" s="235">
        <f>+Cs!F233+Fin!F233+Rat!F233+MM!F233+Lib!F233+Pry!F233+Hal!F233+Cem!F233+Par!F233+EDv!G208+Str!F233+Ele!F233+Wat!F233+San!F233+Ref!F233+Mayor!F233+CFO!F233+MB!F233+Infra!F233</f>
        <v>0</v>
      </c>
      <c r="G233" s="235">
        <f>+Cs!G233+Fin!G233+Rat!G233+MM!G233+Lib!G233+Pry!G233+Hal!G233+Cem!G233+Par!G233+EDv!H208+Str!G233+Ele!G233+Wat!G233+San!G233+Ref!G233+Mayor!G233+CFO!G233+MB!G233+Infra!G233</f>
        <v>0</v>
      </c>
      <c r="H233" s="66" t="s">
        <v>2723</v>
      </c>
      <c r="I233" s="66" t="s">
        <v>3400</v>
      </c>
    </row>
    <row r="234" spans="1:9" x14ac:dyDescent="0.35">
      <c r="A234" s="66" t="s">
        <v>3034</v>
      </c>
      <c r="B234" s="89">
        <f>+Cs!B234+Fin!B234+Rat!B234+MM!B234+Lib!B234+Pry!B234+Hal!B234+Cem!B234+Par!B234+EDv!C209+Str!B234+Ele!B234+Wat!B234+San!B234+Ref!B234+Mayor!B234+CFO!B234+MB!B234+Infra!B234</f>
        <v>50000</v>
      </c>
      <c r="C234" s="89">
        <f>+Cs!C234+Fin!C234+Rat!C234+MM!C234+Lib!C234+Pry!C234+Hal!C234+Cem!C234+Par!C234+EDv!D209+Str!C234+Ele!C234+Wat!C234+San!C234+Ref!C234+Mayor!C234+CFO!C234+MB!C234+Infra!C234</f>
        <v>50000</v>
      </c>
      <c r="D234" s="89">
        <f>+Cs!D234+Fin!D234+Rat!D234+MM!D234+Lib!D234+Pry!D234+Hal!D234+Cem!D234+Par!D234+EDv!E209+Str!D234+Ele!D234+Wat!D234+San!D234+Ref!D234+Mayor!D234+CFO!D234+MB!D234+Infra!D234</f>
        <v>22153.08</v>
      </c>
      <c r="E234" s="235">
        <f>+Cs!E234+Fin!E234+Rat!E234+MM!E234+Lib!E234+Pry!E234+Hal!E234+Cem!E234+Par!E234+EDv!F209+Str!E234+Ele!E234+Wat!E234+San!E234+Ref!E234+Mayor!E234+CFO!E234+MB!E234+Infra!E234</f>
        <v>50000</v>
      </c>
      <c r="F234" s="235">
        <f>+Cs!F234+Fin!F234+Rat!F234+MM!F234+Lib!F234+Pry!F234+Hal!F234+Cem!F234+Par!F234+EDv!G209+Str!F234+Ele!F234+Wat!F234+San!F234+Ref!F234+Mayor!F234+CFO!F234+MB!F234+Infra!F234</f>
        <v>52700</v>
      </c>
      <c r="G234" s="235">
        <f>+Cs!G234+Fin!G234+Rat!G234+MM!G234+Lib!G234+Pry!G234+Hal!G234+Cem!G234+Par!G234+EDv!H209+Str!G234+Ele!G234+Wat!G234+San!G234+Ref!G234+Mayor!G234+CFO!G234+MB!G234+Infra!G234</f>
        <v>55600</v>
      </c>
      <c r="H234" s="66" t="s">
        <v>2723</v>
      </c>
      <c r="I234" s="66" t="s">
        <v>3400</v>
      </c>
    </row>
    <row r="235" spans="1:9" x14ac:dyDescent="0.35">
      <c r="A235" s="66" t="s">
        <v>3033</v>
      </c>
      <c r="B235" s="89">
        <f>+Cs!B235+Fin!B235+Rat!B235+MM!B235+Lib!B235+Pry!B235+Hal!B235+Cem!B235+Par!B235+EDv!C210+Str!B235+Ele!B235+Wat!B235+San!B235+Ref!B235+Mayor!B235+CFO!B235+MB!B235+Infra!B235</f>
        <v>50000</v>
      </c>
      <c r="C235" s="89">
        <f>+Cs!C235+Fin!C235+Rat!C235+MM!C235+Lib!C235+Pry!C235+Hal!C235+Cem!C235+Par!C235+EDv!D210+Str!C235+Ele!C235+Wat!C235+San!C235+Ref!C235+Mayor!C235+CFO!C235+MB!C235+Infra!C235</f>
        <v>50000</v>
      </c>
      <c r="D235" s="89">
        <f>+Cs!D235+Fin!D235+Rat!D235+MM!D235+Lib!D235+Pry!D235+Hal!D235+Cem!D235+Par!D235+EDv!E210+Str!D235+Ele!D235+Wat!D235+San!D235+Ref!D235+Mayor!D235+CFO!D235+MB!D235+Infra!D235</f>
        <v>1500.39</v>
      </c>
      <c r="E235" s="235">
        <f>+Cs!E235+Fin!E235+Rat!E235+MM!E235+Lib!E235+Pry!E235+Hal!E235+Cem!E235+Par!E235+EDv!F210+Str!E235+Ele!E235+Wat!E235+San!E235+Ref!E235+Mayor!E235+CFO!E235+MB!E235+Infra!E235</f>
        <v>50000</v>
      </c>
      <c r="F235" s="235">
        <f>+Cs!F235+Fin!F235+Rat!F235+MM!F235+Lib!F235+Pry!F235+Hal!F235+Cem!F235+Par!F235+EDv!G210+Str!F235+Ele!F235+Wat!F235+San!F235+Ref!F235+Mayor!F235+CFO!F235+MB!F235+Infra!F235</f>
        <v>52700</v>
      </c>
      <c r="G235" s="235">
        <f>+Cs!G235+Fin!G235+Rat!G235+MM!G235+Lib!G235+Pry!G235+Hal!G235+Cem!G235+Par!G235+EDv!H210+Str!G235+Ele!G235+Wat!G235+San!G235+Ref!G235+Mayor!G235+CFO!G235+MB!G235+Infra!G235</f>
        <v>55600</v>
      </c>
      <c r="H235" s="66" t="s">
        <v>2723</v>
      </c>
      <c r="I235" s="66" t="s">
        <v>3400</v>
      </c>
    </row>
    <row r="236" spans="1:9" x14ac:dyDescent="0.35">
      <c r="A236" s="66" t="s">
        <v>3029</v>
      </c>
      <c r="B236" s="89">
        <f>+Cs!B236+Fin!B236+Rat!B236+MM!B236+Lib!B236+Pry!B236+Hal!B236+Cem!B236+Par!B236+EDv!C211+Str!B236+Ele!B236+Wat!B236+San!B236+Ref!B236+Mayor!B236+CFO!B236+MB!B236+Infra!B236</f>
        <v>25000</v>
      </c>
      <c r="C236" s="89">
        <f>+Cs!C236+Fin!C236+Rat!C236+MM!C236+Lib!C236+Pry!C236+Hal!C236+Cem!C236+Par!C236+EDv!D211+Str!C236+Ele!C236+Wat!C236+San!C236+Ref!C236+Mayor!C236+CFO!C236+MB!C236+Infra!C236</f>
        <v>25000</v>
      </c>
      <c r="D236" s="89">
        <f>+Cs!D236+Fin!D236+Rat!D236+MM!D236+Lib!D236+Pry!D236+Hal!D236+Cem!D236+Par!D236+EDv!E211+Str!D236+Ele!D236+Wat!D236+San!D236+Ref!D236+Mayor!D236+CFO!D236+MB!D236+Infra!D236</f>
        <v>27550</v>
      </c>
      <c r="E236" s="235">
        <f>+Cs!E236+Fin!E236+Rat!E236+MM!E236+Lib!E236+Pry!E236+Hal!E236+Cem!E236+Par!E236+EDv!F211+Str!E236+Ele!E236+Wat!E236+San!E236+Ref!E236+Mayor!E236+CFO!E236+MB!E236+Infra!E236</f>
        <v>25000</v>
      </c>
      <c r="F236" s="235">
        <f>+Cs!F236+Fin!F236+Rat!F236+MM!F236+Lib!F236+Pry!F236+Hal!F236+Cem!F236+Par!F236+EDv!G211+Str!F236+Ele!F236+Wat!F236+San!F236+Ref!F236+Mayor!F236+CFO!F236+MB!F236+Infra!F236</f>
        <v>26400</v>
      </c>
      <c r="G236" s="235">
        <f>+Cs!G236+Fin!G236+Rat!G236+MM!G236+Lib!G236+Pry!G236+Hal!G236+Cem!G236+Par!G236+EDv!H211+Str!G236+Ele!G236+Wat!G236+San!G236+Ref!G236+Mayor!G236+CFO!G236+MB!G236+Infra!G236</f>
        <v>27800</v>
      </c>
      <c r="H236" s="66" t="s">
        <v>2723</v>
      </c>
      <c r="I236" s="66" t="s">
        <v>3400</v>
      </c>
    </row>
    <row r="237" spans="1:9" x14ac:dyDescent="0.35">
      <c r="A237" s="66" t="s">
        <v>3030</v>
      </c>
      <c r="B237" s="89">
        <f>+Cs!B237+Fin!B237+Rat!B237+MM!B237+Lib!B237+Pry!B237+Hal!B237+Cem!B237+Par!B237+EDv!C212+Str!B237+Ele!B237+Wat!B237+San!B237+Ref!B237+Mayor!B237+CFO!B237+MB!B237+Infra!B237</f>
        <v>300000</v>
      </c>
      <c r="C237" s="89">
        <f>+Cs!C237+Fin!C237+Rat!C237+MM!C237+Lib!C237+Pry!C237+Hal!C237+Cem!C237+Par!C237+EDv!D212+Str!C237+Ele!C237+Wat!C237+San!C237+Ref!C237+Mayor!C237+CFO!C237+MB!C237+Infra!C237</f>
        <v>300000</v>
      </c>
      <c r="D237" s="89">
        <f>+Cs!D237+Fin!D237+Rat!D237+MM!D237+Lib!D237+Pry!D237+Hal!D237+Cem!D237+Par!D237+EDv!E212+Str!D237+Ele!D237+Wat!D237+San!D237+Ref!D237+Mayor!D237+CFO!D237+MB!D237+Infra!D237</f>
        <v>362124.01</v>
      </c>
      <c r="E237" s="235">
        <f>+Cs!E237+Fin!E237+Rat!E237+MM!E237+Lib!E237+Pry!E237+Hal!E237+Cem!E237+Par!E237+EDv!F212+Str!E237+Ele!E237+Wat!E237+San!E237+Ref!E237+Mayor!E237+CFO!E237+MB!E237+Infra!E237</f>
        <v>320000</v>
      </c>
      <c r="F237" s="235">
        <f>+Cs!F237+Fin!F237+Rat!F237+MM!F237+Lib!F237+Pry!F237+Hal!F237+Cem!F237+Par!F237+EDv!G212+Str!F237+Ele!F237+Wat!F237+San!F237+Ref!F237+Mayor!F237+CFO!F237+MB!F237+Infra!F237</f>
        <v>336600</v>
      </c>
      <c r="G237" s="235">
        <f>+Cs!G237+Fin!G237+Rat!G237+MM!G237+Lib!G237+Pry!G237+Hal!G237+Cem!G237+Par!G237+EDv!H212+Str!G237+Ele!G237+Wat!G237+San!G237+Ref!G237+Mayor!G237+CFO!G237+MB!G237+Infra!G237</f>
        <v>411600</v>
      </c>
      <c r="H237" s="66" t="s">
        <v>2723</v>
      </c>
      <c r="I237" s="66" t="s">
        <v>3400</v>
      </c>
    </row>
    <row r="238" spans="1:9" x14ac:dyDescent="0.35">
      <c r="A238" s="66" t="s">
        <v>2933</v>
      </c>
      <c r="B238" s="89">
        <f>+Cs!B238+Fin!B238+Rat!B238+MM!B238+Lib!B238+Pry!B238+Hal!B238+Cem!B238+Par!B238+EDv!C213+Str!B238+Ele!B238+Wat!B238+San!B238+Ref!B238+Mayor!B238+CFO!B238+MB!B238+Infra!B238</f>
        <v>3500</v>
      </c>
      <c r="C238" s="89">
        <f>+Cs!C238+Fin!C238+Rat!C238+MM!C238+Lib!C238+Pry!C238+Hal!C238+Cem!C238+Par!C238+EDv!D213+Str!C238+Ele!C238+Wat!C238+San!C238+Ref!C238+Mayor!C238+CFO!C238+MB!C238+Infra!C238</f>
        <v>0</v>
      </c>
      <c r="D238" s="89">
        <f>+Cs!D238+Fin!D238+Rat!D238+MM!D238+Lib!D238+Pry!D238+Hal!D238+Cem!D238+Par!D238+EDv!E213+Str!D238+Ele!D238+Wat!D238+San!D238+Ref!D238+Mayor!D238+CFO!D238+MB!D238+Infra!D238</f>
        <v>0</v>
      </c>
      <c r="E238" s="235">
        <f>+Cs!E238+Fin!E238+Rat!E238+MM!E238+Lib!E238+Pry!E238+Hal!E238+Cem!E238+Par!E238+EDv!F213+Str!E238+Ele!E238+Wat!E238+San!E238+Ref!E238+Mayor!E238+CFO!E238+MB!E238+Infra!E238</f>
        <v>0</v>
      </c>
      <c r="F238" s="235">
        <f>+Cs!F238+Fin!F238+Rat!F238+MM!F238+Lib!F238+Pry!F238+Hal!F238+Cem!F238+Par!F238+EDv!G213+Str!F238+Ele!F238+Wat!F238+San!F238+Ref!F238+Mayor!F238+CFO!F238+MB!F238+Infra!F238</f>
        <v>0</v>
      </c>
      <c r="G238" s="235">
        <f>+Cs!G238+Fin!G238+Rat!G238+MM!G238+Lib!G238+Pry!G238+Hal!G238+Cem!G238+Par!G238+EDv!H213+Str!G238+Ele!G238+Wat!G238+San!G238+Ref!G238+Mayor!G238+CFO!G238+MB!G238+Infra!G238</f>
        <v>0</v>
      </c>
      <c r="H238" s="66" t="s">
        <v>3495</v>
      </c>
      <c r="I238" s="66"/>
    </row>
    <row r="239" spans="1:9" x14ac:dyDescent="0.35">
      <c r="A239" s="66" t="s">
        <v>2923</v>
      </c>
      <c r="B239" s="89">
        <f>+Cs!B239+Fin!B239+Rat!B239+MM!B239+Lib!B239+Pry!B239+Hal!B239+Cem!B239+Par!B239+EDv!C214+Str!B239+Ele!B239+Wat!B239+San!B239+Ref!B239+Mayor!B239+CFO!B239+MB!B239+Infra!B239</f>
        <v>3500</v>
      </c>
      <c r="C239" s="89">
        <f>+Cs!C239+Fin!C239+Rat!C239+MM!C239+Lib!C239+Pry!C239+Hal!C239+Cem!C239+Par!C239+EDv!D214+Str!C239+Ele!C239+Wat!C239+San!C239+Ref!C239+Mayor!C239+CFO!C239+MB!C239+Infra!C239</f>
        <v>0</v>
      </c>
      <c r="D239" s="89">
        <f>+Cs!D239+Fin!D239+Rat!D239+MM!D239+Lib!D239+Pry!D239+Hal!D239+Cem!D239+Par!D239+EDv!E214+Str!D239+Ele!D239+Wat!D239+San!D239+Ref!D239+Mayor!D239+CFO!D239+MB!D239+Infra!D239</f>
        <v>0</v>
      </c>
      <c r="E239" s="235">
        <f>+Cs!E239+Fin!E239+Rat!E239+MM!E239+Lib!E239+Pry!E239+Hal!E239+Cem!E239+Par!E239+EDv!F214+Str!E239+Ele!E239+Wat!E239+San!E239+Ref!E239+Mayor!E239+CFO!E239+MB!E239+Infra!E239</f>
        <v>0</v>
      </c>
      <c r="F239" s="235">
        <f>+Cs!F239+Fin!F239+Rat!F239+MM!F239+Lib!F239+Pry!F239+Hal!F239+Cem!F239+Par!F239+EDv!G214+Str!F239+Ele!F239+Wat!F239+San!F239+Ref!F239+Mayor!F239+CFO!F239+MB!F239+Infra!F239</f>
        <v>0</v>
      </c>
      <c r="G239" s="235">
        <f>+Cs!G239+Fin!G239+Rat!G239+MM!G239+Lib!G239+Pry!G239+Hal!G239+Cem!G239+Par!G239+EDv!H214+Str!G239+Ele!G239+Wat!G239+San!G239+Ref!G239+Mayor!G239+CFO!G239+MB!G239+Infra!G239</f>
        <v>0</v>
      </c>
      <c r="H239" s="66" t="s">
        <v>3495</v>
      </c>
      <c r="I239" s="66"/>
    </row>
    <row r="240" spans="1:9" x14ac:dyDescent="0.35">
      <c r="A240" s="66" t="s">
        <v>2926</v>
      </c>
      <c r="B240" s="89">
        <f>+Cs!B240+Fin!B240+Rat!B240+MM!B240+Lib!B240+Pry!B240+Hal!B240+Cem!B240+Par!B240+EDv!C215+Str!B240+Ele!B240+Wat!B240+San!B240+Ref!B240+Mayor!B240+CFO!B240+MB!B240+Infra!B240</f>
        <v>3500</v>
      </c>
      <c r="C240" s="89">
        <f>+Cs!C240+Fin!C240+Rat!C240+MM!C240+Lib!C240+Pry!C240+Hal!C240+Cem!C240+Par!C240+EDv!D215+Str!C240+Ele!C240+Wat!C240+San!C240+Ref!C240+Mayor!C240+CFO!C240+MB!C240+Infra!C240</f>
        <v>0</v>
      </c>
      <c r="D240" s="89">
        <f>+Cs!D240+Fin!D240+Rat!D240+MM!D240+Lib!D240+Pry!D240+Hal!D240+Cem!D240+Par!D240+EDv!E215+Str!D240+Ele!D240+Wat!D240+San!D240+Ref!D240+Mayor!D240+CFO!D240+MB!D240+Infra!D240</f>
        <v>0</v>
      </c>
      <c r="E240" s="235">
        <f>+Cs!E240+Fin!E240+Rat!E240+MM!E240+Lib!E240+Pry!E240+Hal!E240+Cem!E240+Par!E240+EDv!F215+Str!E240+Ele!E240+Wat!E240+San!E240+Ref!E240+Mayor!E240+CFO!E240+MB!E240+Infra!E240</f>
        <v>0</v>
      </c>
      <c r="F240" s="235">
        <f>+Cs!F240+Fin!F240+Rat!F240+MM!F240+Lib!F240+Pry!F240+Hal!F240+Cem!F240+Par!F240+EDv!G215+Str!F240+Ele!F240+Wat!F240+San!F240+Ref!F240+Mayor!F240+CFO!F240+MB!F240+Infra!F240</f>
        <v>0</v>
      </c>
      <c r="G240" s="235">
        <f>+Cs!G240+Fin!G240+Rat!G240+MM!G240+Lib!G240+Pry!G240+Hal!G240+Cem!G240+Par!G240+EDv!H215+Str!G240+Ele!G240+Wat!G240+San!G240+Ref!G240+Mayor!G240+CFO!G240+MB!G240+Infra!G240</f>
        <v>0</v>
      </c>
      <c r="H240" s="66" t="s">
        <v>3495</v>
      </c>
      <c r="I240" s="66"/>
    </row>
    <row r="241" spans="1:9" x14ac:dyDescent="0.35">
      <c r="A241" s="66" t="s">
        <v>2934</v>
      </c>
      <c r="B241" s="89">
        <f>+Cs!B241+Fin!B241+Rat!B241+MM!B241+Lib!B241+Pry!B241+Hal!B241+Cem!B241+Par!B241+EDv!C216+Str!B241+Ele!B241+Wat!B241+San!B241+Ref!B241+Mayor!B241+CFO!B241+MB!B241+Infra!B241</f>
        <v>3500</v>
      </c>
      <c r="C241" s="89">
        <f>+Cs!C241+Fin!C241+Rat!C241+MM!C241+Lib!C241+Pry!C241+Hal!C241+Cem!C241+Par!C241+EDv!D216+Str!C241+Ele!C241+Wat!C241+San!C241+Ref!C241+Mayor!C241+CFO!C241+MB!C241+Infra!C241</f>
        <v>0</v>
      </c>
      <c r="D241" s="89">
        <f>+Cs!D241+Fin!D241+Rat!D241+MM!D241+Lib!D241+Pry!D241+Hal!D241+Cem!D241+Par!D241+EDv!E216+Str!D241+Ele!D241+Wat!D241+San!D241+Ref!D241+Mayor!D241+CFO!D241+MB!D241+Infra!D241</f>
        <v>0</v>
      </c>
      <c r="E241" s="235">
        <f>+Cs!E241+Fin!E241+Rat!E241+MM!E241+Lib!E241+Pry!E241+Hal!E241+Cem!E241+Par!E241+EDv!F216+Str!E241+Ele!E241+Wat!E241+San!E241+Ref!E241+Mayor!E241+CFO!E241+MB!E241+Infra!E241</f>
        <v>0</v>
      </c>
      <c r="F241" s="235">
        <f>+Cs!F241+Fin!F241+Rat!F241+MM!F241+Lib!F241+Pry!F241+Hal!F241+Cem!F241+Par!F241+EDv!G216+Str!F241+Ele!F241+Wat!F241+San!F241+Ref!F241+Mayor!F241+CFO!F241+MB!F241+Infra!F241</f>
        <v>0</v>
      </c>
      <c r="G241" s="235">
        <f>+Cs!G241+Fin!G241+Rat!G241+MM!G241+Lib!G241+Pry!G241+Hal!G241+Cem!G241+Par!G241+EDv!H216+Str!G241+Ele!G241+Wat!G241+San!G241+Ref!G241+Mayor!G241+CFO!G241+MB!G241+Infra!G241</f>
        <v>0</v>
      </c>
      <c r="H241" s="66" t="s">
        <v>3495</v>
      </c>
      <c r="I241" s="66"/>
    </row>
    <row r="242" spans="1:9" x14ac:dyDescent="0.35">
      <c r="A242" s="66" t="s">
        <v>2925</v>
      </c>
      <c r="B242" s="89">
        <f>+Cs!B242+Fin!B242+Rat!B242+MM!B242+Lib!B242+Pry!B242+Hal!B242+Cem!B242+Par!B242+EDv!C217+Str!B242+Ele!B242+Wat!B242+San!B242+Ref!B242+Mayor!B242+CFO!B242+MB!B242+Infra!B242</f>
        <v>3500</v>
      </c>
      <c r="C242" s="89">
        <f>+Cs!C242+Fin!C242+Rat!C242+MM!C242+Lib!C242+Pry!C242+Hal!C242+Cem!C242+Par!C242+EDv!D217+Str!C242+Ele!C242+Wat!C242+San!C242+Ref!C242+Mayor!C242+CFO!C242+MB!C242+Infra!C242</f>
        <v>0</v>
      </c>
      <c r="D242" s="89">
        <f>+Cs!D242+Fin!D242+Rat!D242+MM!D242+Lib!D242+Pry!D242+Hal!D242+Cem!D242+Par!D242+EDv!E217+Str!D242+Ele!D242+Wat!D242+San!D242+Ref!D242+Mayor!D242+CFO!D242+MB!D242+Infra!D242</f>
        <v>0</v>
      </c>
      <c r="E242" s="235">
        <f>+Cs!E242+Fin!E242+Rat!E242+MM!E242+Lib!E242+Pry!E242+Hal!E242+Cem!E242+Par!E242+EDv!F217+Str!E242+Ele!E242+Wat!E242+San!E242+Ref!E242+Mayor!E242+CFO!E242+MB!E242+Infra!E242</f>
        <v>0</v>
      </c>
      <c r="F242" s="235">
        <f>+Cs!F242+Fin!F242+Rat!F242+MM!F242+Lib!F242+Pry!F242+Hal!F242+Cem!F242+Par!F242+EDv!G217+Str!F242+Ele!F242+Wat!F242+San!F242+Ref!F242+Mayor!F242+CFO!F242+MB!F242+Infra!F242</f>
        <v>0</v>
      </c>
      <c r="G242" s="235">
        <f>+Cs!G242+Fin!G242+Rat!G242+MM!G242+Lib!G242+Pry!G242+Hal!G242+Cem!G242+Par!G242+EDv!H217+Str!G242+Ele!G242+Wat!G242+San!G242+Ref!G242+Mayor!G242+CFO!G242+MB!G242+Infra!G242</f>
        <v>0</v>
      </c>
      <c r="H242" s="66" t="s">
        <v>3495</v>
      </c>
      <c r="I242" s="66"/>
    </row>
    <row r="243" spans="1:9" x14ac:dyDescent="0.35">
      <c r="A243" s="66" t="s">
        <v>2929</v>
      </c>
      <c r="B243" s="89">
        <f>+Cs!B243+Fin!B243+Rat!B243+MM!B243+Lib!B243+Pry!B243+Hal!B243+Cem!B243+Par!B243+EDv!C218+Str!B243+Ele!B243+Wat!B243+San!B243+Ref!B243+Mayor!B243+CFO!B243+MB!B243+Infra!B243</f>
        <v>3500</v>
      </c>
      <c r="C243" s="89">
        <f>+Cs!C243+Fin!C243+Rat!C243+MM!C243+Lib!C243+Pry!C243+Hal!C243+Cem!C243+Par!C243+EDv!D218+Str!C243+Ele!C243+Wat!C243+San!C243+Ref!C243+Mayor!C243+CFO!C243+MB!C243+Infra!C243</f>
        <v>0</v>
      </c>
      <c r="D243" s="89">
        <f>+Cs!D243+Fin!D243+Rat!D243+MM!D243+Lib!D243+Pry!D243+Hal!D243+Cem!D243+Par!D243+EDv!E218+Str!D243+Ele!D243+Wat!D243+San!D243+Ref!D243+Mayor!D243+CFO!D243+MB!D243+Infra!D243</f>
        <v>0</v>
      </c>
      <c r="E243" s="235">
        <f>+Cs!E243+Fin!E243+Rat!E243+MM!E243+Lib!E243+Pry!E243+Hal!E243+Cem!E243+Par!E243+EDv!F218+Str!E243+Ele!E243+Wat!E243+San!E243+Ref!E243+Mayor!E243+CFO!E243+MB!E243+Infra!E243</f>
        <v>0</v>
      </c>
      <c r="F243" s="235">
        <f>+Cs!F243+Fin!F243+Rat!F243+MM!F243+Lib!F243+Pry!F243+Hal!F243+Cem!F243+Par!F243+EDv!G218+Str!F243+Ele!F243+Wat!F243+San!F243+Ref!F243+Mayor!F243+CFO!F243+MB!F243+Infra!F243</f>
        <v>0</v>
      </c>
      <c r="G243" s="235">
        <f>+Cs!G243+Fin!G243+Rat!G243+MM!G243+Lib!G243+Pry!G243+Hal!G243+Cem!G243+Par!G243+EDv!H218+Str!G243+Ele!G243+Wat!G243+San!G243+Ref!G243+Mayor!G243+CFO!G243+MB!G243+Infra!G243</f>
        <v>0</v>
      </c>
      <c r="H243" s="66" t="s">
        <v>3495</v>
      </c>
      <c r="I243" s="66"/>
    </row>
    <row r="244" spans="1:9" x14ac:dyDescent="0.35">
      <c r="A244" s="66" t="s">
        <v>2932</v>
      </c>
      <c r="B244" s="89">
        <f>+Cs!B244+Fin!B244+Rat!B244+MM!B244+Lib!B244+Pry!B244+Hal!B244+Cem!B244+Par!B244+EDv!C219+Str!B244+Ele!B244+Wat!B244+San!B244+Ref!B244+Mayor!B244+CFO!B244+MB!B244+Infra!B244</f>
        <v>3500</v>
      </c>
      <c r="C244" s="89">
        <f>+Cs!C244+Fin!C244+Rat!C244+MM!C244+Lib!C244+Pry!C244+Hal!C244+Cem!C244+Par!C244+EDv!D219+Str!C244+Ele!C244+Wat!C244+San!C244+Ref!C244+Mayor!C244+CFO!C244+MB!C244+Infra!C244</f>
        <v>0</v>
      </c>
      <c r="D244" s="89">
        <f>+Cs!D244+Fin!D244+Rat!D244+MM!D244+Lib!D244+Pry!D244+Hal!D244+Cem!D244+Par!D244+EDv!E219+Str!D244+Ele!D244+Wat!D244+San!D244+Ref!D244+Mayor!D244+CFO!D244+MB!D244+Infra!D244</f>
        <v>0</v>
      </c>
      <c r="E244" s="235">
        <f>+Cs!E244+Fin!E244+Rat!E244+MM!E244+Lib!E244+Pry!E244+Hal!E244+Cem!E244+Par!E244+EDv!F219+Str!E244+Ele!E244+Wat!E244+San!E244+Ref!E244+Mayor!E244+CFO!E244+MB!E244+Infra!E244</f>
        <v>0</v>
      </c>
      <c r="F244" s="235">
        <f>+Cs!F244+Fin!F244+Rat!F244+MM!F244+Lib!F244+Pry!F244+Hal!F244+Cem!F244+Par!F244+EDv!G219+Str!F244+Ele!F244+Wat!F244+San!F244+Ref!F244+Mayor!F244+CFO!F244+MB!F244+Infra!F244</f>
        <v>0</v>
      </c>
      <c r="G244" s="235">
        <f>+Cs!G244+Fin!G244+Rat!G244+MM!G244+Lib!G244+Pry!G244+Hal!G244+Cem!G244+Par!G244+EDv!H219+Str!G244+Ele!G244+Wat!G244+San!G244+Ref!G244+Mayor!G244+CFO!G244+MB!G244+Infra!G244</f>
        <v>0</v>
      </c>
      <c r="H244" s="66" t="s">
        <v>3495</v>
      </c>
      <c r="I244" s="66"/>
    </row>
    <row r="245" spans="1:9" x14ac:dyDescent="0.35">
      <c r="A245" s="66" t="s">
        <v>2924</v>
      </c>
      <c r="B245" s="89">
        <f>+Cs!B245+Fin!B245+Rat!B245+MM!B245+Lib!B245+Pry!B245+Hal!B245+Cem!B245+Par!B245+EDv!C220+Str!B245+Ele!B245+Wat!B245+San!B245+Ref!B245+Mayor!B245+CFO!B245+MB!B245+Infra!B245</f>
        <v>3500</v>
      </c>
      <c r="C245" s="89">
        <f>+Cs!C245+Fin!C245+Rat!C245+MM!C245+Lib!C245+Pry!C245+Hal!C245+Cem!C245+Par!C245+EDv!D220+Str!C245+Ele!C245+Wat!C245+San!C245+Ref!C245+Mayor!C245+CFO!C245+MB!C245+Infra!C245</f>
        <v>0</v>
      </c>
      <c r="D245" s="89">
        <f>+Cs!D245+Fin!D245+Rat!D245+MM!D245+Lib!D245+Pry!D245+Hal!D245+Cem!D245+Par!D245+EDv!E220+Str!D245+Ele!D245+Wat!D245+San!D245+Ref!D245+Mayor!D245+CFO!D245+MB!D245+Infra!D245</f>
        <v>0</v>
      </c>
      <c r="E245" s="235">
        <f>+Cs!E245+Fin!E245+Rat!E245+MM!E245+Lib!E245+Pry!E245+Hal!E245+Cem!E245+Par!E245+EDv!F220+Str!E245+Ele!E245+Wat!E245+San!E245+Ref!E245+Mayor!E245+CFO!E245+MB!E245+Infra!E245</f>
        <v>0</v>
      </c>
      <c r="F245" s="235">
        <f>+Cs!F245+Fin!F245+Rat!F245+MM!F245+Lib!F245+Pry!F245+Hal!F245+Cem!F245+Par!F245+EDv!G220+Str!F245+Ele!F245+Wat!F245+San!F245+Ref!F245+Mayor!F245+CFO!F245+MB!F245+Infra!F245</f>
        <v>0</v>
      </c>
      <c r="G245" s="235">
        <f>+Cs!G245+Fin!G245+Rat!G245+MM!G245+Lib!G245+Pry!G245+Hal!G245+Cem!G245+Par!G245+EDv!H220+Str!G245+Ele!G245+Wat!G245+San!G245+Ref!G245+Mayor!G245+CFO!G245+MB!G245+Infra!G245</f>
        <v>0</v>
      </c>
      <c r="H245" s="66" t="s">
        <v>3495</v>
      </c>
      <c r="I245" s="66"/>
    </row>
    <row r="246" spans="1:9" x14ac:dyDescent="0.35">
      <c r="A246" s="66" t="s">
        <v>2931</v>
      </c>
      <c r="B246" s="89">
        <f>+Cs!B246+Fin!B246+Rat!B246+MM!B246+Lib!B246+Pry!B246+Hal!B246+Cem!B246+Par!B246+EDv!C221+Str!B246+Ele!B246+Wat!B246+San!B246+Ref!B246+Mayor!B246+CFO!B246+MB!B246+Infra!B246</f>
        <v>3500</v>
      </c>
      <c r="C246" s="89">
        <f>+Cs!C246+Fin!C246+Rat!C246+MM!C246+Lib!C246+Pry!C246+Hal!C246+Cem!C246+Par!C246+EDv!D221+Str!C246+Ele!C246+Wat!C246+San!C246+Ref!C246+Mayor!C246+CFO!C246+MB!C246+Infra!C246</f>
        <v>0</v>
      </c>
      <c r="D246" s="89">
        <f>+Cs!D246+Fin!D246+Rat!D246+MM!D246+Lib!D246+Pry!D246+Hal!D246+Cem!D246+Par!D246+EDv!E221+Str!D246+Ele!D246+Wat!D246+San!D246+Ref!D246+Mayor!D246+CFO!D246+MB!D246+Infra!D246</f>
        <v>0</v>
      </c>
      <c r="E246" s="235">
        <f>+Cs!E246+Fin!E246+Rat!E246+MM!E246+Lib!E246+Pry!E246+Hal!E246+Cem!E246+Par!E246+EDv!F221+Str!E246+Ele!E246+Wat!E246+San!E246+Ref!E246+Mayor!E246+CFO!E246+MB!E246+Infra!E246</f>
        <v>0</v>
      </c>
      <c r="F246" s="235">
        <f>+Cs!F246+Fin!F246+Rat!F246+MM!F246+Lib!F246+Pry!F246+Hal!F246+Cem!F246+Par!F246+EDv!G221+Str!F246+Ele!F246+Wat!F246+San!F246+Ref!F246+Mayor!F246+CFO!F246+MB!F246+Infra!F246</f>
        <v>0</v>
      </c>
      <c r="G246" s="235">
        <f>+Cs!G246+Fin!G246+Rat!G246+MM!G246+Lib!G246+Pry!G246+Hal!G246+Cem!G246+Par!G246+EDv!H221+Str!G246+Ele!G246+Wat!G246+San!G246+Ref!G246+Mayor!G246+CFO!G246+MB!G246+Infra!G246</f>
        <v>0</v>
      </c>
      <c r="H246" s="66" t="s">
        <v>3495</v>
      </c>
      <c r="I246" s="66"/>
    </row>
    <row r="247" spans="1:9" x14ac:dyDescent="0.35">
      <c r="A247" s="66" t="s">
        <v>2930</v>
      </c>
      <c r="B247" s="89">
        <f>+Cs!B247+Fin!B247+Rat!B247+MM!B247+Lib!B247+Pry!B247+Hal!B247+Cem!B247+Par!B247+EDv!C222+Str!B247+Ele!B247+Wat!B247+San!B247+Ref!B247+Mayor!B247+CFO!B247+MB!B247+Infra!B247</f>
        <v>3500</v>
      </c>
      <c r="C247" s="89">
        <f>+Cs!C247+Fin!C247+Rat!C247+MM!C247+Lib!C247+Pry!C247+Hal!C247+Cem!C247+Par!C247+EDv!D222+Str!C247+Ele!C247+Wat!C247+San!C247+Ref!C247+Mayor!C247+CFO!C247+MB!C247+Infra!C247</f>
        <v>0</v>
      </c>
      <c r="D247" s="89">
        <f>+Cs!D247+Fin!D247+Rat!D247+MM!D247+Lib!D247+Pry!D247+Hal!D247+Cem!D247+Par!D247+EDv!E222+Str!D247+Ele!D247+Wat!D247+San!D247+Ref!D247+Mayor!D247+CFO!D247+MB!D247+Infra!D247</f>
        <v>0</v>
      </c>
      <c r="E247" s="235">
        <f>+Cs!E247+Fin!E247+Rat!E247+MM!E247+Lib!E247+Pry!E247+Hal!E247+Cem!E247+Par!E247+EDv!F222+Str!E247+Ele!E247+Wat!E247+San!E247+Ref!E247+Mayor!E247+CFO!E247+MB!E247+Infra!E247</f>
        <v>0</v>
      </c>
      <c r="F247" s="235">
        <f>+Cs!F247+Fin!F247+Rat!F247+MM!F247+Lib!F247+Pry!F247+Hal!F247+Cem!F247+Par!F247+EDv!G222+Str!F247+Ele!F247+Wat!F247+San!F247+Ref!F247+Mayor!F247+CFO!F247+MB!F247+Infra!F247</f>
        <v>0</v>
      </c>
      <c r="G247" s="235">
        <f>+Cs!G247+Fin!G247+Rat!G247+MM!G247+Lib!G247+Pry!G247+Hal!G247+Cem!G247+Par!G247+EDv!H222+Str!G247+Ele!G247+Wat!G247+San!G247+Ref!G247+Mayor!G247+CFO!G247+MB!G247+Infra!G247</f>
        <v>0</v>
      </c>
      <c r="H247" s="66" t="s">
        <v>3495</v>
      </c>
      <c r="I247" s="66"/>
    </row>
    <row r="248" spans="1:9" x14ac:dyDescent="0.35">
      <c r="A248" s="66" t="s">
        <v>2927</v>
      </c>
      <c r="B248" s="89">
        <f>+Cs!B248+Fin!B248+Rat!B248+MM!B248+Lib!B248+Pry!B248+Hal!B248+Cem!B248+Par!B248+EDv!C223+Str!B248+Ele!B248+Wat!B248+San!B248+Ref!B248+Mayor!B248+CFO!B248+MB!B248+Infra!B248</f>
        <v>3500</v>
      </c>
      <c r="C248" s="89">
        <f>+Cs!C248+Fin!C248+Rat!C248+MM!C248+Lib!C248+Pry!C248+Hal!C248+Cem!C248+Par!C248+EDv!D223+Str!C248+Ele!C248+Wat!C248+San!C248+Ref!C248+Mayor!C248+CFO!C248+MB!C248+Infra!C248</f>
        <v>0</v>
      </c>
      <c r="D248" s="89">
        <f>+Cs!D248+Fin!D248+Rat!D248+MM!D248+Lib!D248+Pry!D248+Hal!D248+Cem!D248+Par!D248+EDv!E223+Str!D248+Ele!D248+Wat!D248+San!D248+Ref!D248+Mayor!D248+CFO!D248+MB!D248+Infra!D248</f>
        <v>0</v>
      </c>
      <c r="E248" s="235">
        <f>+Cs!E248+Fin!E248+Rat!E248+MM!E248+Lib!E248+Pry!E248+Hal!E248+Cem!E248+Par!E248+EDv!F223+Str!E248+Ele!E248+Wat!E248+San!E248+Ref!E248+Mayor!E248+CFO!E248+MB!E248+Infra!E248</f>
        <v>0</v>
      </c>
      <c r="F248" s="235">
        <f>+Cs!F248+Fin!F248+Rat!F248+MM!F248+Lib!F248+Pry!F248+Hal!F248+Cem!F248+Par!F248+EDv!G223+Str!F248+Ele!F248+Wat!F248+San!F248+Ref!F248+Mayor!F248+CFO!F248+MB!F248+Infra!F248</f>
        <v>0</v>
      </c>
      <c r="G248" s="235">
        <f>+Cs!G248+Fin!G248+Rat!G248+MM!G248+Lib!G248+Pry!G248+Hal!G248+Cem!G248+Par!G248+EDv!H223+Str!G248+Ele!G248+Wat!G248+San!G248+Ref!G248+Mayor!G248+CFO!G248+MB!G248+Infra!G248</f>
        <v>0</v>
      </c>
      <c r="H248" s="66" t="s">
        <v>3495</v>
      </c>
      <c r="I248" s="66"/>
    </row>
    <row r="249" spans="1:9" x14ac:dyDescent="0.35">
      <c r="A249" s="66" t="s">
        <v>2928</v>
      </c>
      <c r="B249" s="89">
        <f>+Cs!B249+Fin!B249+Rat!B249+MM!B249+Lib!B249+Pry!B249+Hal!B249+Cem!B249+Par!B249+EDv!C224+Str!B249+Ele!B249+Wat!B249+San!B249+Ref!B249+Mayor!B249+CFO!B249+MB!B249+Infra!B249</f>
        <v>3500</v>
      </c>
      <c r="C249" s="89">
        <f>+Cs!C249+Fin!C249+Rat!C249+MM!C249+Lib!C249+Pry!C249+Hal!C249+Cem!C249+Par!C249+EDv!D224+Str!C249+Ele!C249+Wat!C249+San!C249+Ref!C249+Mayor!C249+CFO!C249+MB!C249+Infra!C249</f>
        <v>0</v>
      </c>
      <c r="D249" s="89">
        <f>+Cs!D249+Fin!D249+Rat!D249+MM!D249+Lib!D249+Pry!D249+Hal!D249+Cem!D249+Par!D249+EDv!E224+Str!D249+Ele!D249+Wat!D249+San!D249+Ref!D249+Mayor!D249+CFO!D249+MB!D249+Infra!D249</f>
        <v>0</v>
      </c>
      <c r="E249" s="235">
        <f>+Cs!E249+Fin!E249+Rat!E249+MM!E249+Lib!E249+Pry!E249+Hal!E249+Cem!E249+Par!E249+EDv!F224+Str!E249+Ele!E249+Wat!E249+San!E249+Ref!E249+Mayor!E249+CFO!E249+MB!E249+Infra!E249</f>
        <v>0</v>
      </c>
      <c r="F249" s="235">
        <f>+Cs!F249+Fin!F249+Rat!F249+MM!F249+Lib!F249+Pry!F249+Hal!F249+Cem!F249+Par!F249+EDv!G224+Str!F249+Ele!F249+Wat!F249+San!F249+Ref!F249+Mayor!F249+CFO!F249+MB!F249+Infra!F249</f>
        <v>0</v>
      </c>
      <c r="G249" s="235">
        <f>+Cs!G249+Fin!G249+Rat!G249+MM!G249+Lib!G249+Pry!G249+Hal!G249+Cem!G249+Par!G249+EDv!H224+Str!G249+Ele!G249+Wat!G249+San!G249+Ref!G249+Mayor!G249+CFO!G249+MB!G249+Infra!G249</f>
        <v>0</v>
      </c>
      <c r="H249" s="66" t="s">
        <v>3495</v>
      </c>
      <c r="I249" s="66"/>
    </row>
    <row r="250" spans="1:9" x14ac:dyDescent="0.35">
      <c r="A250" s="66" t="s">
        <v>2743</v>
      </c>
      <c r="B250" s="89">
        <f>+Cs!B250+Fin!B250+Rat!B250+MM!B250+Lib!B250+Pry!B250+Hal!B250+Cem!B250+Par!B250+EDv!C225+Str!B250+Ele!B250+Wat!B250+San!B250+Ref!B250+Mayor!B250+CFO!B250+MB!B250+Infra!B250</f>
        <v>3000</v>
      </c>
      <c r="C250" s="89">
        <f>+Cs!C250+Fin!C250+Rat!C250+MM!C250+Lib!C250+Pry!C250+Hal!C250+Cem!C250+Par!C250+EDv!D225+Str!C250+Ele!C250+Wat!C250+San!C250+Ref!C250+Mayor!C250+CFO!C250+MB!C250+Infra!C250</f>
        <v>3000</v>
      </c>
      <c r="D250" s="89">
        <f>+Cs!D250+Fin!D250+Rat!D250+MM!D250+Lib!D250+Pry!D250+Hal!D250+Cem!D250+Par!D250+EDv!E225+Str!D250+Ele!D250+Wat!D250+San!D250+Ref!D250+Mayor!D250+CFO!D250+MB!D250+Infra!D250</f>
        <v>5101.54</v>
      </c>
      <c r="E250" s="235">
        <f>+Cs!E250+Fin!E250+Rat!E250+MM!E250+Lib!E250+Pry!E250+Hal!E250+Cem!E250+Par!E250+EDv!F225+Str!E250+Ele!E250+Wat!E250+San!E250+Ref!E250+Mayor!E250+CFO!E250+MB!E250+Infra!E250</f>
        <v>6000</v>
      </c>
      <c r="F250" s="235">
        <f>+Cs!F250+Fin!F250+Rat!F250+MM!F250+Lib!F250+Pry!F250+Hal!F250+Cem!F250+Par!F250+EDv!G225+Str!F250+Ele!F250+Wat!F250+San!F250+Ref!F250+Mayor!F250+CFO!F250+MB!F250+Infra!F250</f>
        <v>6300</v>
      </c>
      <c r="G250" s="235">
        <f>+Cs!G250+Fin!G250+Rat!G250+MM!G250+Lib!G250+Pry!G250+Hal!G250+Cem!G250+Par!G250+EDv!H225+Str!G250+Ele!G250+Wat!G250+San!G250+Ref!G250+Mayor!G250+CFO!G250+MB!G250+Infra!G250</f>
        <v>6600</v>
      </c>
      <c r="H250" s="66" t="s">
        <v>2722</v>
      </c>
      <c r="I250" s="66"/>
    </row>
    <row r="251" spans="1:9" x14ac:dyDescent="0.35">
      <c r="A251" s="66" t="s">
        <v>3122</v>
      </c>
      <c r="B251" s="89">
        <f>+Cs!B251+Fin!B251+Rat!B251+MM!B251+Lib!B251+Pry!B251+Hal!B251+Cem!B251+Par!B251+EDv!C226+Str!B251+Ele!B251+Wat!B251+San!B251+Ref!B251+Mayor!B251+CFO!B251+MB!B251+Infra!B251</f>
        <v>8087000</v>
      </c>
      <c r="C251" s="89">
        <f>+Cs!C251+Fin!C251+Rat!C251+MM!C251+Lib!C251+Pry!C251+Hal!C251+Cem!C251+Par!C251+EDv!D226+Str!C251+Ele!C251+Wat!C251+San!C251+Ref!C251+Mayor!C251+CFO!C251+MB!C251+Infra!C251</f>
        <v>8087000</v>
      </c>
      <c r="D251" s="89">
        <f>+Cs!D251+Fin!D251+Rat!D251+MM!D251+Lib!D251+Pry!D251+Hal!D251+Cem!D251+Par!D251+EDv!E226+Str!D251+Ele!D251+Wat!D251+San!D251+Ref!D251+Mayor!D251+CFO!D251+MB!D251+Infra!D251</f>
        <v>8087000</v>
      </c>
      <c r="E251" s="235">
        <f>+Cs!E251+Fin!E251+Rat!E251+MM!E251+Lib!E251+Pry!E251+Hal!E251+Cem!E251+Par!E251+EDv!F226+Str!E251+Ele!E251+Wat!E251+San!E251+Ref!E251+Mayor!E251+CFO!E251+MB!E251+Infra!E251</f>
        <v>739900</v>
      </c>
      <c r="F251" s="235">
        <f>+Cs!F251+Fin!F251+Rat!F251+MM!F251+Lib!F251+Pry!F251+Hal!F251+Cem!F251+Par!F251+EDv!G226+Str!F251+Ele!F251+Wat!F251+San!F251+Ref!F251+Mayor!F251+CFO!F251+MB!F251+Infra!F251</f>
        <v>0</v>
      </c>
      <c r="G251" s="235">
        <f>+Cs!G251+Fin!G251+Rat!G251+MM!G251+Lib!G251+Pry!G251+Hal!G251+Cem!G251+Par!G251+EDv!H226+Str!G251+Ele!G251+Wat!G251+San!G251+Ref!G251+Mayor!G251+CFO!G251+MB!G251+Infra!G251</f>
        <v>0</v>
      </c>
      <c r="H251" s="66" t="s">
        <v>2887</v>
      </c>
      <c r="I251" s="66"/>
    </row>
    <row r="252" spans="1:9" x14ac:dyDescent="0.35">
      <c r="A252" s="66" t="s">
        <v>3120</v>
      </c>
      <c r="B252" s="89">
        <f>+Cs!B252+Fin!B252+Rat!B252+MM!B252+Lib!B252+Pry!B252+Hal!B252+Cem!B252+Par!B252+EDv!C227+Str!B252+Ele!B252+Wat!B252+San!B252+Ref!B252+Mayor!B252+CFO!B252+MB!B252+Infra!B252</f>
        <v>0</v>
      </c>
      <c r="C252" s="89">
        <f>+Cs!C252+Fin!C252+Rat!C252+MM!C252+Lib!C252+Pry!C252+Hal!C252+Cem!C252+Par!C252+EDv!D227+Str!C252+Ele!C252+Wat!C252+San!C252+Ref!C252+Mayor!C252+CFO!C252+MB!C252+Infra!C252</f>
        <v>0</v>
      </c>
      <c r="D252" s="89">
        <f>+Cs!D252+Fin!D252+Rat!D252+MM!D252+Lib!D252+Pry!D252+Hal!D252+Cem!D252+Par!D252+EDv!E227+Str!D252+Ele!D252+Wat!D252+San!D252+Ref!D252+Mayor!D252+CFO!D252+MB!D252+Infra!D252</f>
        <v>0</v>
      </c>
      <c r="E252" s="235">
        <f>+Cs!E252+Fin!E252+Rat!E252+MM!E252+Lib!E252+Pry!E252+Hal!E252+Cem!E252+Par!E252+EDv!F227+Str!E252+Ele!E252+Wat!E252+San!E252+Ref!E252+Mayor!E252+CFO!E252+MB!E252+Infra!E252</f>
        <v>0</v>
      </c>
      <c r="F252" s="235">
        <f>+Cs!F252+Fin!F252+Rat!F252+MM!F252+Lib!F252+Pry!F252+Hal!F252+Cem!F252+Par!F252+EDv!G227+Str!F252+Ele!F252+Wat!F252+San!F252+Ref!F252+Mayor!F252+CFO!F252+MB!F252+Infra!F252</f>
        <v>0</v>
      </c>
      <c r="G252" s="235">
        <f>+Cs!G252+Fin!G252+Rat!G252+MM!G252+Lib!G252+Pry!G252+Hal!G252+Cem!G252+Par!G252+EDv!H227+Str!G252+Ele!G252+Wat!G252+San!G252+Ref!G252+Mayor!G252+CFO!G252+MB!G252+Infra!G252</f>
        <v>0</v>
      </c>
      <c r="H252" s="66" t="s">
        <v>2887</v>
      </c>
      <c r="I252" s="66"/>
    </row>
    <row r="253" spans="1:9" x14ac:dyDescent="0.35">
      <c r="A253" s="66" t="s">
        <v>3119</v>
      </c>
      <c r="B253" s="89">
        <f>+Cs!B253+Fin!B253+Rat!B253+MM!B253+Lib!B253+Pry!B253+Hal!B253+Cem!B253+Par!B253+EDv!C228+Str!B253+Ele!B253+Wat!B253+San!B253+Ref!B253+Mayor!B253+CFO!B253+MB!B253+Infra!B253</f>
        <v>0</v>
      </c>
      <c r="C253" s="89">
        <f>+Cs!C253+Fin!C253+Rat!C253+MM!C253+Lib!C253+Pry!C253+Hal!C253+Cem!C253+Par!C253+EDv!D228+Str!C253+Ele!C253+Wat!C253+San!C253+Ref!C253+Mayor!C253+CFO!C253+MB!C253+Infra!C253</f>
        <v>0</v>
      </c>
      <c r="D253" s="89">
        <f>+Cs!D253+Fin!D253+Rat!D253+MM!D253+Lib!D253+Pry!D253+Hal!D253+Cem!D253+Par!D253+EDv!E228+Str!D253+Ele!D253+Wat!D253+San!D253+Ref!D253+Mayor!D253+CFO!D253+MB!D253+Infra!D253</f>
        <v>0</v>
      </c>
      <c r="E253" s="235">
        <f>+Cs!E253+Fin!E253+Rat!E253+MM!E253+Lib!E253+Pry!E253+Hal!E253+Cem!E253+Par!E253+EDv!F228+Str!E253+Ele!E253+Wat!E253+San!E253+Ref!E253+Mayor!E253+CFO!E253+MB!E253+Infra!E253</f>
        <v>0</v>
      </c>
      <c r="F253" s="235">
        <f>+Cs!F253+Fin!F253+Rat!F253+MM!F253+Lib!F253+Pry!F253+Hal!F253+Cem!F253+Par!F253+EDv!G228+Str!F253+Ele!F253+Wat!F253+San!F253+Ref!F253+Mayor!F253+CFO!F253+MB!F253+Infra!F253</f>
        <v>0</v>
      </c>
      <c r="G253" s="235">
        <f>+Cs!G253+Fin!G253+Rat!G253+MM!G253+Lib!G253+Pry!G253+Hal!G253+Cem!G253+Par!G253+EDv!H228+Str!G253+Ele!G253+Wat!G253+San!G253+Ref!G253+Mayor!G253+CFO!G253+MB!G253+Infra!G253</f>
        <v>0</v>
      </c>
      <c r="H253" s="66" t="s">
        <v>2887</v>
      </c>
      <c r="I253" s="66"/>
    </row>
    <row r="254" spans="1:9" x14ac:dyDescent="0.35">
      <c r="A254" s="66" t="s">
        <v>3118</v>
      </c>
      <c r="B254" s="89">
        <f>+Cs!B254+Fin!B254+Rat!B254+MM!B254+Lib!B254+Pry!B254+Hal!B254+Cem!B254+Par!B254+EDv!C229+Str!B254+Ele!B254+Wat!B254+San!B254+Ref!B254+Mayor!B254+CFO!B254+MB!B254+Infra!B254</f>
        <v>0</v>
      </c>
      <c r="C254" s="89">
        <f>+Cs!C254+Fin!C254+Rat!C254+MM!C254+Lib!C254+Pry!C254+Hal!C254+Cem!C254+Par!C254+EDv!D229+Str!C254+Ele!C254+Wat!C254+San!C254+Ref!C254+Mayor!C254+CFO!C254+MB!C254+Infra!C254</f>
        <v>0</v>
      </c>
      <c r="D254" s="89">
        <f>+Cs!D254+Fin!D254+Rat!D254+MM!D254+Lib!D254+Pry!D254+Hal!D254+Cem!D254+Par!D254+EDv!E229+Str!D254+Ele!D254+Wat!D254+San!D254+Ref!D254+Mayor!D254+CFO!D254+MB!D254+Infra!D254</f>
        <v>0</v>
      </c>
      <c r="E254" s="235">
        <f>+Cs!E254+Fin!E254+Rat!E254+MM!E254+Lib!E254+Pry!E254+Hal!E254+Cem!E254+Par!E254+EDv!F229+Str!E254+Ele!E254+Wat!E254+San!E254+Ref!E254+Mayor!E254+CFO!E254+MB!E254+Infra!E254</f>
        <v>7325100</v>
      </c>
      <c r="F254" s="235">
        <f>+Cs!F254+Fin!F254+Rat!F254+MM!F254+Lib!F254+Pry!F254+Hal!F254+Cem!F254+Par!F254+EDv!G229+Str!F254+Ele!F254+Wat!F254+San!F254+Ref!F254+Mayor!F254+CFO!F254+MB!F254+Infra!F254</f>
        <v>8352000</v>
      </c>
      <c r="G254" s="235">
        <f>+Cs!G254+Fin!G254+Rat!G254+MM!G254+Lib!G254+Pry!G254+Hal!G254+Cem!G254+Par!G254+EDv!H229+Str!G254+Ele!G254+Wat!G254+San!G254+Ref!G254+Mayor!G254+CFO!G254+MB!G254+Infra!G254</f>
        <v>8562000</v>
      </c>
      <c r="H254" s="66" t="s">
        <v>2887</v>
      </c>
      <c r="I254" s="66"/>
    </row>
    <row r="255" spans="1:9" x14ac:dyDescent="0.35">
      <c r="A255" s="66" t="s">
        <v>3123</v>
      </c>
      <c r="B255" s="89">
        <f>+Cs!B255+Fin!B255+Rat!B255+MM!B255+Lib!B255+Pry!B255+Hal!B255+Cem!B255+Par!B255+EDv!C230+Str!B255+Ele!B255+Wat!B255+San!B255+Ref!B255+Mayor!B255+CFO!B255+MB!B255+Infra!B255</f>
        <v>0</v>
      </c>
      <c r="C255" s="89">
        <f>+Cs!C255+Fin!C255+Rat!C255+MM!C255+Lib!C255+Pry!C255+Hal!C255+Cem!C255+Par!C255+EDv!D230+Str!C255+Ele!C255+Wat!C255+San!C255+Ref!C255+Mayor!C255+CFO!C255+MB!C255+Infra!C255</f>
        <v>0</v>
      </c>
      <c r="D255" s="89">
        <f>+Cs!D255+Fin!D255+Rat!D255+MM!D255+Lib!D255+Pry!D255+Hal!D255+Cem!D255+Par!D255+EDv!E230+Str!D255+Ele!D255+Wat!D255+San!D255+Ref!D255+Mayor!D255+CFO!D255+MB!D255+Infra!D255</f>
        <v>0</v>
      </c>
      <c r="E255" s="235">
        <f>+Cs!E255+Fin!E255+Rat!E255+MM!E255+Lib!E255+Pry!E255+Hal!E255+Cem!E255+Par!E255+EDv!F230+Str!E255+Ele!E255+Wat!E255+San!E255+Ref!E255+Mayor!E255+CFO!E255+MB!E255+Infra!E255</f>
        <v>0</v>
      </c>
      <c r="F255" s="235">
        <f>+Cs!F255+Fin!F255+Rat!F255+MM!F255+Lib!F255+Pry!F255+Hal!F255+Cem!F255+Par!F255+EDv!G230+Str!F255+Ele!F255+Wat!F255+San!F255+Ref!F255+Mayor!F255+CFO!F255+MB!F255+Infra!F255</f>
        <v>0</v>
      </c>
      <c r="G255" s="235">
        <f>+Cs!G255+Fin!G255+Rat!G255+MM!G255+Lib!G255+Pry!G255+Hal!G255+Cem!G255+Par!G255+EDv!H230+Str!G255+Ele!G255+Wat!G255+San!G255+Ref!G255+Mayor!G255+CFO!G255+MB!G255+Infra!G255</f>
        <v>0</v>
      </c>
      <c r="H255" s="66" t="s">
        <v>2887</v>
      </c>
      <c r="I255" s="66"/>
    </row>
    <row r="256" spans="1:9" x14ac:dyDescent="0.35">
      <c r="A256" s="66" t="s">
        <v>3121</v>
      </c>
      <c r="B256" s="89">
        <f>+Cs!B256+Fin!B256+Rat!B256+MM!B256+Lib!B256+Pry!B256+Hal!B256+Cem!B256+Par!B256+EDv!C231+Str!B256+Ele!B256+Wat!B256+San!B256+Ref!B256+Mayor!B256+CFO!B256+MB!B256+Infra!B256</f>
        <v>0</v>
      </c>
      <c r="C256" s="89">
        <f>+Cs!C256+Fin!C256+Rat!C256+MM!C256+Lib!C256+Pry!C256+Hal!C256+Cem!C256+Par!C256+EDv!D231+Str!C256+Ele!C256+Wat!C256+San!C256+Ref!C256+Mayor!C256+CFO!C256+MB!C256+Infra!C256</f>
        <v>0</v>
      </c>
      <c r="D256" s="89">
        <f>+Cs!D256+Fin!D256+Rat!D256+MM!D256+Lib!D256+Pry!D256+Hal!D256+Cem!D256+Par!D256+EDv!E231+Str!D256+Ele!D256+Wat!D256+San!D256+Ref!D256+Mayor!D256+CFO!D256+MB!D256+Infra!D256</f>
        <v>0</v>
      </c>
      <c r="E256" s="235">
        <f>+Cs!E256+Fin!E256+Rat!E256+MM!E256+Lib!E256+Pry!E256+Hal!E256+Cem!E256+Par!E256+EDv!F231+Str!E256+Ele!E256+Wat!E256+San!E256+Ref!E256+Mayor!E256+CFO!E256+MB!E256+Infra!E256</f>
        <v>0</v>
      </c>
      <c r="F256" s="235">
        <f>+Cs!F256+Fin!F256+Rat!F256+MM!F256+Lib!F256+Pry!F256+Hal!F256+Cem!F256+Par!F256+EDv!G231+Str!F256+Ele!F256+Wat!F256+San!F256+Ref!F256+Mayor!F256+CFO!F256+MB!F256+Infra!F256</f>
        <v>0</v>
      </c>
      <c r="G256" s="235">
        <f>+Cs!G256+Fin!G256+Rat!G256+MM!G256+Lib!G256+Pry!G256+Hal!G256+Cem!G256+Par!G256+EDv!H231+Str!G256+Ele!G256+Wat!G256+San!G256+Ref!G256+Mayor!G256+CFO!G256+MB!G256+Infra!G256</f>
        <v>0</v>
      </c>
      <c r="H256" s="66" t="s">
        <v>2887</v>
      </c>
      <c r="I256" s="66"/>
    </row>
    <row r="257" spans="1:9" x14ac:dyDescent="0.35">
      <c r="A257" s="66" t="s">
        <v>3124</v>
      </c>
      <c r="B257" s="89">
        <f>+Cs!B257+Fin!B257+Rat!B257+MM!B257+Lib!B257+Pry!B257+Hal!B257+Cem!B257+Par!B257+EDv!C232+Str!B257+Ele!B257+Wat!B257+San!B257+Ref!B257+Mayor!B257+CFO!B257+MB!B257+Infra!B257</f>
        <v>0</v>
      </c>
      <c r="C257" s="89">
        <f>+Cs!C257+Fin!C257+Rat!C257+MM!C257+Lib!C257+Pry!C257+Hal!C257+Cem!C257+Par!C257+EDv!D232+Str!C257+Ele!C257+Wat!C257+San!C257+Ref!C257+Mayor!C257+CFO!C257+MB!C257+Infra!C257</f>
        <v>0</v>
      </c>
      <c r="D257" s="89">
        <f>+Cs!D257+Fin!D257+Rat!D257+MM!D257+Lib!D257+Pry!D257+Hal!D257+Cem!D257+Par!D257+EDv!E232+Str!D257+Ele!D257+Wat!D257+San!D257+Ref!D257+Mayor!D257+CFO!D257+MB!D257+Infra!D257</f>
        <v>0</v>
      </c>
      <c r="E257" s="235">
        <f>+Cs!E257+Fin!E257+Rat!E257+MM!E257+Lib!E257+Pry!E257+Hal!E257+Cem!E257+Par!E257+EDv!F232+Str!E257+Ele!E257+Wat!E257+San!E257+Ref!E257+Mayor!E257+CFO!E257+MB!E257+Infra!E257</f>
        <v>0</v>
      </c>
      <c r="F257" s="235">
        <f>+Cs!F257+Fin!F257+Rat!F257+MM!F257+Lib!F257+Pry!F257+Hal!F257+Cem!F257+Par!F257+EDv!G232+Str!F257+Ele!F257+Wat!F257+San!F257+Ref!F257+Mayor!F257+CFO!F257+MB!F257+Infra!F257</f>
        <v>0</v>
      </c>
      <c r="G257" s="235">
        <f>+Cs!G257+Fin!G257+Rat!G257+MM!G257+Lib!G257+Pry!G257+Hal!G257+Cem!G257+Par!G257+EDv!H232+Str!G257+Ele!G257+Wat!G257+San!G257+Ref!G257+Mayor!G257+CFO!G257+MB!G257+Infra!G257</f>
        <v>0</v>
      </c>
      <c r="H257" s="66" t="s">
        <v>2887</v>
      </c>
      <c r="I257" s="66"/>
    </row>
    <row r="258" spans="1:9" x14ac:dyDescent="0.35">
      <c r="A258" s="66" t="s">
        <v>2859</v>
      </c>
      <c r="B258" s="89">
        <f>+Cs!B258+Fin!B258+Rat!B258+MM!B258+Lib!B258+Pry!B258+Hal!B258+Cem!B258+Par!B258+EDv!C233+Str!B258+Ele!B258+Wat!B258+San!B258+Ref!B258+Mayor!B258+CFO!B258+MB!B258+Infra!B258</f>
        <v>25500</v>
      </c>
      <c r="C258" s="89">
        <f>+Cs!C258+Fin!C258+Rat!C258+MM!C258+Lib!C258+Pry!C258+Hal!C258+Cem!C258+Par!C258+EDv!D233+Str!C258+Ele!C258+Wat!C258+San!C258+Ref!C258+Mayor!C258+CFO!C258+MB!C258+Infra!C258</f>
        <v>25500</v>
      </c>
      <c r="D258" s="89">
        <f>+Cs!D258+Fin!D258+Rat!D258+MM!D258+Lib!D258+Pry!D258+Hal!D258+Cem!D258+Par!D258+EDv!E233+Str!D258+Ele!D258+Wat!D258+San!D258+Ref!D258+Mayor!D258+CFO!D258+MB!D258+Infra!D258</f>
        <v>24189.11</v>
      </c>
      <c r="E258" s="235">
        <f>+Cs!E258+Fin!E258+Rat!E258+MM!E258+Lib!E258+Pry!E258+Hal!E258+Cem!E258+Par!E258+EDv!F233+Str!E258+Ele!E258+Wat!E258+San!E258+Ref!E258+Mayor!E258+CFO!E258+MB!E258+Infra!E258</f>
        <v>31500</v>
      </c>
      <c r="F258" s="235">
        <f>+Cs!F258+Fin!F258+Rat!F258+MM!F258+Lib!F258+Pry!F258+Hal!F258+Cem!F258+Par!F258+EDv!G233+Str!F258+Ele!F258+Wat!F258+San!F258+Ref!F258+Mayor!F258+CFO!F258+MB!F258+Infra!F258</f>
        <v>33000</v>
      </c>
      <c r="G258" s="235">
        <f>+Cs!G258+Fin!G258+Rat!G258+MM!G258+Lib!G258+Pry!G258+Hal!G258+Cem!G258+Par!G258+EDv!H233+Str!G258+Ele!G258+Wat!G258+San!G258+Ref!G258+Mayor!G258+CFO!G258+MB!G258+Infra!G258</f>
        <v>34500</v>
      </c>
      <c r="H258" s="66" t="s">
        <v>2722</v>
      </c>
      <c r="I258" s="66"/>
    </row>
    <row r="259" spans="1:9" x14ac:dyDescent="0.35">
      <c r="A259" s="66" t="s">
        <v>2648</v>
      </c>
      <c r="B259" s="89">
        <f>+Cs!B259+Fin!B259+Rat!B259+MM!B259+Lib!B259+Pry!B259+Hal!B259+Cem!B259+Par!B259+EDv!C234+Str!B259+Ele!B259+Wat!B259+San!B259+Ref!B259+Mayor!B259+CFO!B259+MB!B259+Infra!B259</f>
        <v>1000</v>
      </c>
      <c r="C259" s="89">
        <f>+Cs!C259+Fin!C259+Rat!C259+MM!C259+Lib!C259+Pry!C259+Hal!C259+Cem!C259+Par!C259+EDv!D234+Str!C259+Ele!C259+Wat!C259+San!C259+Ref!C259+Mayor!C259+CFO!C259+MB!C259+Infra!C259</f>
        <v>1000</v>
      </c>
      <c r="D259" s="89">
        <f>+Cs!D259+Fin!D259+Rat!D259+MM!D259+Lib!D259+Pry!D259+Hal!D259+Cem!D259+Par!D259+EDv!E234+Str!D259+Ele!D259+Wat!D259+San!D259+Ref!D259+Mayor!D259+CFO!D259+MB!D259+Infra!D259</f>
        <v>0</v>
      </c>
      <c r="E259" s="235">
        <f>+Cs!E259+Fin!E259+Rat!E259+MM!E259+Lib!E259+Pry!E259+Hal!E259+Cem!E259+Par!E259+EDv!F234+Str!E259+Ele!E259+Wat!E259+San!E259+Ref!E259+Mayor!E259+CFO!E259+MB!E259+Infra!E259</f>
        <v>1000</v>
      </c>
      <c r="F259" s="235">
        <f>+Cs!F259+Fin!F259+Rat!F259+MM!F259+Lib!F259+Pry!F259+Hal!F259+Cem!F259+Par!F259+EDv!G234+Str!F259+Ele!F259+Wat!F259+San!F259+Ref!F259+Mayor!F259+CFO!F259+MB!F259+Infra!F259</f>
        <v>1000</v>
      </c>
      <c r="G259" s="235">
        <f>+Cs!G259+Fin!G259+Rat!G259+MM!G259+Lib!G259+Pry!G259+Hal!G259+Cem!G259+Par!G259+EDv!H234+Str!G259+Ele!G259+Wat!G259+San!G259+Ref!G259+Mayor!G259+CFO!G259+MB!G259+Infra!G259</f>
        <v>1000</v>
      </c>
      <c r="H259" s="66" t="s">
        <v>2723</v>
      </c>
      <c r="I259" s="66"/>
    </row>
    <row r="260" spans="1:9" x14ac:dyDescent="0.35">
      <c r="A260" s="66" t="s">
        <v>2860</v>
      </c>
      <c r="B260" s="89">
        <f>+Cs!B260+Fin!B260+Rat!B260+MM!B260+Lib!B260+Pry!B260+Hal!B260+Cem!B260+Par!B260+EDv!C235+Str!B260+Ele!B260+Wat!B260+San!B260+Ref!B260+Mayor!B260+CFO!B260+MB!B260+Infra!B260</f>
        <v>202000</v>
      </c>
      <c r="C260" s="89">
        <f>+Cs!C260+Fin!C260+Rat!C260+MM!C260+Lib!C260+Pry!C260+Hal!C260+Cem!C260+Par!C260+EDv!D235+Str!C260+Ele!C260+Wat!C260+San!C260+Ref!C260+Mayor!C260+CFO!C260+MB!C260+Infra!C260</f>
        <v>52000</v>
      </c>
      <c r="D260" s="89">
        <f>+Cs!D260+Fin!D260+Rat!D260+MM!D260+Lib!D260+Pry!D260+Hal!D260+Cem!D260+Par!D260+EDv!E235+Str!D260+Ele!D260+Wat!D260+San!D260+Ref!D260+Mayor!D260+CFO!D260+MB!D260+Infra!D260</f>
        <v>188597.33</v>
      </c>
      <c r="E260" s="235">
        <f>+Cs!E260+Fin!E260+Rat!E260+MM!E260+Lib!E260+Pry!E260+Hal!E260+Cem!E260+Par!E260+EDv!F235+Str!E260+Ele!E260+Wat!E260+San!E260+Ref!E260+Mayor!E260+CFO!E260+MB!E260+Infra!E260</f>
        <v>202000</v>
      </c>
      <c r="F260" s="235">
        <f>+Cs!F260+Fin!F260+Rat!F260+MM!F260+Lib!F260+Pry!F260+Hal!F260+Cem!F260+Par!F260+EDv!G235+Str!F260+Ele!F260+Wat!F260+San!F260+Ref!F260+Mayor!F260+CFO!F260+MB!F260+Infra!F260</f>
        <v>213100</v>
      </c>
      <c r="G260" s="235">
        <f>+Cs!G260+Fin!G260+Rat!G260+MM!G260+Lib!G260+Pry!G260+Hal!G260+Cem!G260+Par!G260+EDv!H235+Str!G260+Ele!G260+Wat!G260+San!G260+Ref!G260+Mayor!G260+CFO!G260+MB!G260+Infra!G260</f>
        <v>224900</v>
      </c>
      <c r="H260" s="66" t="s">
        <v>2722</v>
      </c>
      <c r="I260" s="66"/>
    </row>
    <row r="261" spans="1:9" x14ac:dyDescent="0.35">
      <c r="A261" s="66" t="s">
        <v>2861</v>
      </c>
      <c r="B261" s="89">
        <f>+Cs!B261+Fin!B261+Rat!B261+MM!B261+Lib!B261+Pry!B261+Hal!B261+Cem!B261+Par!B261+EDv!C236+Str!B261+Ele!B261+Wat!B261+San!B261+Ref!B261+Mayor!B261+CFO!B261+MB!B261+Infra!B261</f>
        <v>3000</v>
      </c>
      <c r="C261" s="89">
        <f>+Cs!C261+Fin!C261+Rat!C261+MM!C261+Lib!C261+Pry!C261+Hal!C261+Cem!C261+Par!C261+EDv!D236+Str!C261+Ele!C261+Wat!C261+San!C261+Ref!C261+Mayor!C261+CFO!C261+MB!C261+Infra!C261</f>
        <v>3000</v>
      </c>
      <c r="D261" s="89">
        <f>+Cs!D261+Fin!D261+Rat!D261+MM!D261+Lib!D261+Pry!D261+Hal!D261+Cem!D261+Par!D261+EDv!E236+Str!D261+Ele!D261+Wat!D261+San!D261+Ref!D261+Mayor!D261+CFO!D261+MB!D261+Infra!D261</f>
        <v>2590</v>
      </c>
      <c r="E261" s="235">
        <f>+Cs!E261+Fin!E261+Rat!E261+MM!E261+Lib!E261+Pry!E261+Hal!E261+Cem!E261+Par!E261+EDv!F236+Str!E261+Ele!E261+Wat!E261+San!E261+Ref!E261+Mayor!E261+CFO!E261+MB!E261+Infra!E261</f>
        <v>3000</v>
      </c>
      <c r="F261" s="235">
        <f>+Cs!F261+Fin!F261+Rat!F261+MM!F261+Lib!F261+Pry!F261+Hal!F261+Cem!F261+Par!F261+EDv!G236+Str!F261+Ele!F261+Wat!F261+San!F261+Ref!F261+Mayor!F261+CFO!F261+MB!F261+Infra!F261</f>
        <v>3200</v>
      </c>
      <c r="G261" s="235">
        <f>+Cs!G261+Fin!G261+Rat!G261+MM!G261+Lib!G261+Pry!G261+Hal!G261+Cem!G261+Par!G261+EDv!H236+Str!G261+Ele!G261+Wat!G261+San!G261+Ref!G261+Mayor!G261+CFO!G261+MB!G261+Infra!G261</f>
        <v>3400</v>
      </c>
      <c r="H261" s="66" t="s">
        <v>2722</v>
      </c>
      <c r="I261" s="66"/>
    </row>
    <row r="262" spans="1:9" x14ac:dyDescent="0.35">
      <c r="A262" s="66" t="s">
        <v>3427</v>
      </c>
      <c r="B262" s="89">
        <f>+Cs!B262+Fin!B262+Rat!B262+MM!B262+Lib!B262+Pry!B262+Hal!B262+Cem!B262+Par!B262+EDv!C237+Str!B262+Ele!B262+Wat!B262+San!B262+Ref!B262+Mayor!B262+CFO!B262+MB!B262+Infra!B262</f>
        <v>20000000</v>
      </c>
      <c r="C262" s="89">
        <f>+Cs!C262+Fin!C262+Rat!C262+MM!C262+Lib!C262+Pry!C262+Hal!C262+Cem!C262+Par!C262+EDv!D237+Str!C262+Ele!C262+Wat!C262+San!C262+Ref!C262+Mayor!C262+CFO!C262+MB!C262+Infra!C262</f>
        <v>0</v>
      </c>
      <c r="D262" s="89">
        <f>+Cs!D262+Fin!D262+Rat!D262+MM!D262+Lib!D262+Pry!D262+Hal!D262+Cem!D262+Par!D262+EDv!E237+Str!D262+Ele!D262+Wat!D262+San!D262+Ref!D262+Mayor!D262+CFO!D262+MB!D262+Infra!D262</f>
        <v>0</v>
      </c>
      <c r="E262" s="235">
        <f>+Cs!E262+Fin!E262+Rat!E262+MM!E262+Lib!E262+Pry!E262+Hal!E262+Cem!E262+Par!E262+EDv!F237+Str!E262+Ele!E262+Wat!E262+San!E262+Ref!E262+Mayor!E262+CFO!E262+MB!E262+Infra!E262</f>
        <v>0</v>
      </c>
      <c r="F262" s="235">
        <f>+Cs!F262+Fin!F262+Rat!F262+MM!F262+Lib!F262+Pry!F262+Hal!F262+Cem!F262+Par!F262+EDv!G237+Str!F262+Ele!F262+Wat!F262+San!F262+Ref!F262+Mayor!F262+CFO!F262+MB!F262+Infra!F262</f>
        <v>0</v>
      </c>
      <c r="G262" s="235">
        <f>+Cs!G262+Fin!G262+Rat!G262+MM!G262+Lib!G262+Pry!G262+Hal!G262+Cem!G262+Par!G262+EDv!H237+Str!G262+Ele!G262+Wat!G262+San!G262+Ref!G262+Mayor!G262+CFO!G262+MB!G262+Infra!G262</f>
        <v>0</v>
      </c>
      <c r="H262" s="66" t="s">
        <v>2887</v>
      </c>
      <c r="I262" s="66"/>
    </row>
    <row r="263" spans="1:9" x14ac:dyDescent="0.35">
      <c r="A263" s="66" t="s">
        <v>3041</v>
      </c>
      <c r="B263" s="89">
        <f>+Cs!B263+Fin!B263+Rat!B263+MM!B263+Lib!B263+Pry!B263+Hal!B263+Cem!B263+Par!B263+EDv!C238+Str!B263+Ele!B263+Wat!B263+San!B263+Ref!B263+Mayor!B263+CFO!B263+MB!B263+Infra!B263</f>
        <v>140000</v>
      </c>
      <c r="C263" s="89">
        <f>+Cs!C263+Fin!C263+Rat!C263+MM!C263+Lib!C263+Pry!C263+Hal!C263+Cem!C263+Par!C263+EDv!D238+Str!C263+Ele!C263+Wat!C263+San!C263+Ref!C263+Mayor!C263+CFO!C263+MB!C263+Infra!C263</f>
        <v>140000</v>
      </c>
      <c r="D263" s="89">
        <f>+Cs!D263+Fin!D263+Rat!D263+MM!D263+Lib!D263+Pry!D263+Hal!D263+Cem!D263+Par!D263+EDv!E238+Str!D263+Ele!D263+Wat!D263+San!D263+Ref!D263+Mayor!D263+CFO!D263+MB!D263+Infra!D263</f>
        <v>145216.92000000001</v>
      </c>
      <c r="E263" s="235">
        <f>+Cs!E263+Fin!E263+Rat!E263+MM!E263+Lib!E263+Pry!E263+Hal!E263+Cem!E263+Par!E263+EDv!F238+Str!E263+Ele!E263+Wat!E263+San!E263+Ref!E263+Mayor!E263+CFO!E263+MB!E263+Infra!E263</f>
        <v>160000</v>
      </c>
      <c r="F263" s="235">
        <f>+Cs!F263+Fin!F263+Rat!F263+MM!F263+Lib!F263+Pry!F263+Hal!F263+Cem!F263+Par!F263+EDv!G238+Str!F263+Ele!F263+Wat!F263+San!F263+Ref!F263+Mayor!F263+CFO!F263+MB!F263+Infra!F263</f>
        <v>167300</v>
      </c>
      <c r="G263" s="235">
        <f>+Cs!G263+Fin!G263+Rat!G263+MM!G263+Lib!G263+Pry!G263+Hal!G263+Cem!G263+Par!G263+EDv!H238+Str!G263+Ele!G263+Wat!G263+San!G263+Ref!G263+Mayor!G263+CFO!G263+MB!G263+Infra!G263</f>
        <v>175000</v>
      </c>
      <c r="H263" s="66" t="s">
        <v>3492</v>
      </c>
      <c r="I263" s="66"/>
    </row>
    <row r="264" spans="1:9" x14ac:dyDescent="0.35">
      <c r="A264" s="66" t="s">
        <v>2862</v>
      </c>
      <c r="B264" s="89">
        <f>+Cs!B264+Fin!B264+Rat!B264+MM!B264+Lib!B264+Pry!B264+Hal!B264+Cem!B264+Par!B264+EDv!C239+Str!B264+Ele!B264+Wat!B264+San!B264+Ref!B264+Mayor!B264+CFO!B264+MB!B264+Infra!B264</f>
        <v>599600</v>
      </c>
      <c r="C264" s="89">
        <f>+Cs!C264+Fin!C264+Rat!C264+MM!C264+Lib!C264+Pry!C264+Hal!C264+Cem!C264+Par!C264+EDv!D239+Str!C264+Ele!C264+Wat!C264+San!C264+Ref!C264+Mayor!C264+CFO!C264+MB!C264+Infra!C264</f>
        <v>527600</v>
      </c>
      <c r="D264" s="89">
        <f>+Cs!D264+Fin!D264+Rat!D264+MM!D264+Lib!D264+Pry!D264+Hal!D264+Cem!D264+Par!D264+EDv!E239+Str!D264+Ele!D264+Wat!D264+San!D264+Ref!D264+Mayor!D264+CFO!D264+MB!D264+Infra!D264</f>
        <v>538315.19999999995</v>
      </c>
      <c r="E264" s="235">
        <f>+Cs!E264+Fin!E264+Rat!E264+MM!E264+Lib!E264+Pry!E264+Hal!E264+Cem!E264+Par!E264+EDv!F239+Str!E264+Ele!E264+Wat!E264+San!E264+Ref!E264+Mayor!E264+CFO!E264+MB!E264+Infra!E264</f>
        <v>587600</v>
      </c>
      <c r="F264" s="235">
        <f>+Cs!F264+Fin!F264+Rat!F264+MM!F264+Lib!F264+Pry!F264+Hal!F264+Cem!F264+Par!F264+EDv!G239+Str!F264+Ele!F264+Wat!F264+San!F264+Ref!F264+Mayor!F264+CFO!F264+MB!F264+Infra!F264</f>
        <v>587600</v>
      </c>
      <c r="G264" s="235">
        <f>+Cs!G264+Fin!G264+Rat!G264+MM!G264+Lib!G264+Pry!G264+Hal!G264+Cem!G264+Par!G264+EDv!H239+Str!G264+Ele!G264+Wat!G264+San!G264+Ref!G264+Mayor!G264+CFO!G264+MB!G264+Infra!G264</f>
        <v>587600</v>
      </c>
      <c r="H264" s="66" t="s">
        <v>2722</v>
      </c>
      <c r="I264" s="66"/>
    </row>
    <row r="265" spans="1:9" x14ac:dyDescent="0.35">
      <c r="A265" s="66" t="s">
        <v>2914</v>
      </c>
      <c r="B265" s="89">
        <f>+Cs!B265+Fin!B265+Rat!B265+MM!B265+Lib!B265+Pry!B265+Hal!B265+Cem!B265+Par!B265+EDv!C240+Str!B265+Ele!B265+Wat!B265+San!B265+Ref!B265+Mayor!B265+CFO!B265+MB!B265+Infra!B265</f>
        <v>113800</v>
      </c>
      <c r="C265" s="89">
        <f>+Cs!C265+Fin!C265+Rat!C265+MM!C265+Lib!C265+Pry!C265+Hal!C265+Cem!C265+Par!C265+EDv!D240+Str!C265+Ele!C265+Wat!C265+San!C265+Ref!C265+Mayor!C265+CFO!C265+MB!C265+Infra!C265</f>
        <v>113800</v>
      </c>
      <c r="D265" s="89">
        <f>+Cs!D265+Fin!D265+Rat!D265+MM!D265+Lib!D265+Pry!D265+Hal!D265+Cem!D265+Par!D265+EDv!E240+Str!D265+Ele!D265+Wat!D265+San!D265+Ref!D265+Mayor!D265+CFO!D265+MB!D265+Infra!D265</f>
        <v>111731.43</v>
      </c>
      <c r="E265" s="235">
        <f>+Cs!E265+Fin!E265+Rat!E265+MM!E265+Lib!E265+Pry!E265+Hal!E265+Cem!E265+Par!E265+EDv!F240+Str!E265+Ele!E265+Wat!E265+San!E265+Ref!E265+Mayor!E265+CFO!E265+MB!E265+Infra!E265</f>
        <v>113800</v>
      </c>
      <c r="F265" s="235">
        <f>+Cs!F265+Fin!F265+Rat!F265+MM!F265+Lib!F265+Pry!F265+Hal!F265+Cem!F265+Par!F265+EDv!G240+Str!F265+Ele!F265+Wat!F265+San!F265+Ref!F265+Mayor!F265+CFO!F265+MB!F265+Infra!F265</f>
        <v>119100</v>
      </c>
      <c r="G265" s="235">
        <f>+Cs!G265+Fin!G265+Rat!G265+MM!G265+Lib!G265+Pry!G265+Hal!G265+Cem!G265+Par!G265+EDv!H240+Str!G265+Ele!G265+Wat!G265+San!G265+Ref!G265+Mayor!G265+CFO!G265+MB!G265+Infra!G265</f>
        <v>124600</v>
      </c>
      <c r="H265" s="66" t="s">
        <v>2723</v>
      </c>
      <c r="I265" s="66"/>
    </row>
    <row r="266" spans="1:9" x14ac:dyDescent="0.35">
      <c r="A266" s="66" t="s">
        <v>3511</v>
      </c>
      <c r="B266" s="89">
        <f>+Cs!B266+Fin!B266+Rat!B266+MM!B266+Lib!B266+Pry!B266+Hal!B266+Cem!B266+Par!B266+EDv!C241+Str!B266+Ele!B266+Wat!B266+San!B266+Ref!B266+Mayor!B266+CFO!B266+MB!B266+Infra!B266</f>
        <v>0</v>
      </c>
      <c r="C266" s="89">
        <f>+Cs!C266+Fin!C266+Rat!C266+MM!C266+Lib!C266+Pry!C266+Hal!C266+Cem!C266+Par!C266+EDv!D241+Str!C266+Ele!C266+Wat!C266+San!C266+Ref!C266+Mayor!C266+CFO!C266+MB!C266+Infra!C266</f>
        <v>0</v>
      </c>
      <c r="D266" s="89">
        <f>+Cs!D266+Fin!D266+Rat!D266+MM!D266+Lib!D266+Pry!D266+Hal!D266+Cem!D266+Par!D266+EDv!E241+Str!D266+Ele!D266+Wat!D266+San!D266+Ref!D266+Mayor!D266+CFO!D266+MB!D266+Infra!D266</f>
        <v>0</v>
      </c>
      <c r="E266" s="235">
        <f>+Cs!E266+Fin!E266+Rat!E266+MM!E266+Lib!E266+Pry!E266+Hal!E266+Cem!E266+Par!E266+EDv!F241+Str!E266+Ele!E266+Wat!E266+San!E266+Ref!E266+Mayor!E266+CFO!E266+MB!E266+Infra!E266</f>
        <v>38000</v>
      </c>
      <c r="F266" s="235">
        <f>+Cs!F266+Fin!F266+Rat!F266+MM!F266+Lib!F266+Pry!F266+Hal!F266+Cem!F266+Par!F266+EDv!G241+Str!F266+Ele!F266+Wat!F266+San!F266+Ref!F266+Mayor!F266+CFO!F266+MB!F266+Infra!F266</f>
        <v>39800</v>
      </c>
      <c r="G266" s="235">
        <f>+Cs!G266+Fin!G266+Rat!G266+MM!G266+Lib!G266+Pry!G266+Hal!G266+Cem!G266+Par!G266+EDv!H241+Str!G266+Ele!G266+Wat!G266+San!G266+Ref!G266+Mayor!G266+CFO!G266+MB!G266+Infra!G266</f>
        <v>41700</v>
      </c>
      <c r="H266" s="66" t="s">
        <v>2723</v>
      </c>
      <c r="I266" s="66"/>
    </row>
    <row r="267" spans="1:9" x14ac:dyDescent="0.35">
      <c r="A267" s="66" t="s">
        <v>2911</v>
      </c>
      <c r="B267" s="89">
        <f>+Cs!B267+Fin!B267+Rat!B267+MM!B267+Lib!B267+Pry!B267+Hal!B267+Cem!B267+Par!B267+EDv!C242+Str!B267+Ele!B267+Wat!B267+San!B267+Ref!B267+Mayor!B267+CFO!B267+MB!B267+Infra!B267</f>
        <v>457400</v>
      </c>
      <c r="C267" s="89">
        <f>+Cs!C267+Fin!C267+Rat!C267+MM!C267+Lib!C267+Pry!C267+Hal!C267+Cem!C267+Par!C267+EDv!D242+Str!C267+Ele!C267+Wat!C267+San!C267+Ref!C267+Mayor!C267+CFO!C267+MB!C267+Infra!C267</f>
        <v>457400</v>
      </c>
      <c r="D267" s="89">
        <f>+Cs!D267+Fin!D267+Rat!D267+MM!D267+Lib!D267+Pry!D267+Hal!D267+Cem!D267+Par!D267+EDv!E242+Str!D267+Ele!D267+Wat!D267+San!D267+Ref!D267+Mayor!D267+CFO!D267+MB!D267+Infra!D267</f>
        <v>449615.34</v>
      </c>
      <c r="E267" s="235">
        <f>+Cs!E267+Fin!E267+Rat!E267+MM!E267+Lib!E267+Pry!E267+Hal!E267+Cem!E267+Par!E267+EDv!F242+Str!E267+Ele!E267+Wat!E267+San!E267+Ref!E267+Mayor!E267+CFO!E267+MB!E267+Infra!E267</f>
        <v>470000</v>
      </c>
      <c r="F267" s="235">
        <f>+Cs!F267+Fin!F267+Rat!F267+MM!F267+Lib!F267+Pry!F267+Hal!F267+Cem!F267+Par!F267+EDv!G242+Str!F267+Ele!F267+Wat!F267+San!F267+Ref!F267+Mayor!F267+CFO!F267+MB!F267+Infra!F267</f>
        <v>491600</v>
      </c>
      <c r="G267" s="235">
        <f>+Cs!G267+Fin!G267+Rat!G267+MM!G267+Lib!G267+Pry!G267+Hal!G267+Cem!G267+Par!G267+EDv!H242+Str!G267+Ele!G267+Wat!G267+San!G267+Ref!G267+Mayor!G267+CFO!G267+MB!G267+Infra!G267</f>
        <v>514300</v>
      </c>
      <c r="H267" s="66" t="s">
        <v>2723</v>
      </c>
      <c r="I267" s="66"/>
    </row>
    <row r="268" spans="1:9" x14ac:dyDescent="0.35">
      <c r="A268" s="66" t="s">
        <v>3513</v>
      </c>
      <c r="B268" s="89">
        <f>+Cs!B268+Fin!B268+Rat!B268+MM!B268+Lib!B268+Pry!B268+Hal!B268+Cem!B268+Par!B268+EDv!C243+Str!B268+Ele!B268+Wat!B268+San!B268+Ref!B268+Mayor!B268+CFO!B268+MB!B268+Infra!B268</f>
        <v>36600</v>
      </c>
      <c r="C268" s="89">
        <f>+Cs!C268+Fin!C268+Rat!C268+MM!C268+Lib!C268+Pry!C268+Hal!C268+Cem!C268+Par!C268+EDv!D243+Str!C268+Ele!C268+Wat!C268+San!C268+Ref!C268+Mayor!C268+CFO!C268+MB!C268+Infra!C268</f>
        <v>36600</v>
      </c>
      <c r="D268" s="89">
        <f>+Cs!D268+Fin!D268+Rat!D268+MM!D268+Lib!D268+Pry!D268+Hal!D268+Cem!D268+Par!D268+EDv!E243+Str!D268+Ele!D268+Wat!D268+San!D268+Ref!D268+Mayor!D268+CFO!D268+MB!D268+Infra!D268</f>
        <v>35619</v>
      </c>
      <c r="E268" s="235">
        <f>+Cs!E268+Fin!E268+Rat!E268+MM!E268+Lib!E268+Pry!E268+Hal!E268+Cem!E268+Par!E268+EDv!F243+Str!E268+Ele!E268+Wat!E268+San!E268+Ref!E268+Mayor!E268+CFO!E268+MB!E268+Infra!E268</f>
        <v>630000</v>
      </c>
      <c r="F268" s="235">
        <f>+Cs!F268+Fin!F268+Rat!F268+MM!F268+Lib!F268+Pry!F268+Hal!F268+Cem!F268+Par!F268+EDv!G243+Str!F268+Ele!F268+Wat!F268+San!F268+Ref!F268+Mayor!F268+CFO!F268+MB!F268+Infra!F268</f>
        <v>659000</v>
      </c>
      <c r="G268" s="235">
        <f>+Cs!G268+Fin!G268+Rat!G268+MM!G268+Lib!G268+Pry!G268+Hal!G268+Cem!G268+Par!G268+EDv!H243+Str!G268+Ele!G268+Wat!G268+San!G268+Ref!G268+Mayor!G268+CFO!G268+MB!G268+Infra!G268</f>
        <v>689400</v>
      </c>
      <c r="H268" s="66" t="s">
        <v>2723</v>
      </c>
      <c r="I268" s="66"/>
    </row>
    <row r="269" spans="1:9" x14ac:dyDescent="0.35">
      <c r="A269" s="66" t="s">
        <v>2915</v>
      </c>
      <c r="B269" s="89">
        <f>+Cs!B269+Fin!B269+Rat!B269+MM!B269+Lib!B269+Pry!B269+Hal!B269+Cem!B269+Par!B269+EDv!C244+Str!B269+Ele!B269+Wat!B269+San!B269+Ref!B269+Mayor!B269+CFO!B269+MB!B269+Infra!B269</f>
        <v>0</v>
      </c>
      <c r="C269" s="89">
        <f>+Cs!C269+Fin!C269+Rat!C269+MM!C269+Lib!C269+Pry!C269+Hal!C269+Cem!C269+Par!C269+EDv!D244+Str!C269+Ele!C269+Wat!C269+San!C269+Ref!C269+Mayor!C269+CFO!C269+MB!C269+Infra!C269</f>
        <v>0</v>
      </c>
      <c r="D269" s="89">
        <f>+Cs!D269+Fin!D269+Rat!D269+MM!D269+Lib!D269+Pry!D269+Hal!D269+Cem!D269+Par!D269+EDv!E244+Str!D269+Ele!D269+Wat!D269+San!D269+Ref!D269+Mayor!D269+CFO!D269+MB!D269+Infra!D269</f>
        <v>0</v>
      </c>
      <c r="E269" s="235">
        <f>+Cs!E269+Fin!E269+Rat!E269+MM!E269+Lib!E269+Pry!E269+Hal!E269+Cem!E269+Par!E269+EDv!F244+Str!E269+Ele!E269+Wat!E269+San!E269+Ref!E269+Mayor!E269+CFO!E269+MB!E269+Infra!E269</f>
        <v>0</v>
      </c>
      <c r="F269" s="235">
        <f>+Cs!F269+Fin!F269+Rat!F269+MM!F269+Lib!F269+Pry!F269+Hal!F269+Cem!F269+Par!F269+EDv!G244+Str!F269+Ele!F269+Wat!F269+San!F269+Ref!F269+Mayor!F269+CFO!F269+MB!F269+Infra!F269</f>
        <v>0</v>
      </c>
      <c r="G269" s="235">
        <f>+Cs!G269+Fin!G269+Rat!G269+MM!G269+Lib!G269+Pry!G269+Hal!G269+Cem!G269+Par!G269+EDv!H244+Str!G269+Ele!G269+Wat!G269+San!G269+Ref!G269+Mayor!G269+CFO!G269+MB!G269+Infra!G269</f>
        <v>0</v>
      </c>
      <c r="H269" s="66" t="s">
        <v>2723</v>
      </c>
      <c r="I269" s="66"/>
    </row>
    <row r="270" spans="1:9" x14ac:dyDescent="0.35">
      <c r="A270" s="66" t="s">
        <v>3417</v>
      </c>
      <c r="B270" s="89">
        <f>+Cs!B270+Fin!B270+Rat!B270+MM!B270+Lib!B270+Pry!B270+Hal!B270+Cem!B270+Par!B270+EDv!C245+Str!B270+Ele!B270+Wat!B270+San!B270+Ref!B270+Mayor!B270+CFO!B270+MB!B270+Infra!B270</f>
        <v>0</v>
      </c>
      <c r="C270" s="89">
        <f>+Cs!C270+Fin!C270+Rat!C270+MM!C270+Lib!C270+Pry!C270+Hal!C270+Cem!C270+Par!C270+EDv!D245+Str!C270+Ele!C270+Wat!C270+San!C270+Ref!C270+Mayor!C270+CFO!C270+MB!C270+Infra!C270</f>
        <v>0</v>
      </c>
      <c r="D270" s="89">
        <f>+Cs!D270+Fin!D270+Rat!D270+MM!D270+Lib!D270+Pry!D270+Hal!D270+Cem!D270+Par!D270+EDv!E245+Str!D270+Ele!D270+Wat!D270+San!D270+Ref!D270+Mayor!D270+CFO!D270+MB!D270+Infra!D270</f>
        <v>0</v>
      </c>
      <c r="E270" s="235">
        <f>+Cs!E270+Fin!E270+Rat!E270+MM!E270+Lib!E270+Pry!E270+Hal!E270+Cem!E270+Par!E270+EDv!F245+Str!E270+Ele!E270+Wat!E270+San!E270+Ref!E270+Mayor!E270+CFO!E270+MB!E270+Infra!E270</f>
        <v>0</v>
      </c>
      <c r="F270" s="235">
        <f>+Cs!F270+Fin!F270+Rat!F270+MM!F270+Lib!F270+Pry!F270+Hal!F270+Cem!F270+Par!F270+EDv!G245+Str!F270+Ele!F270+Wat!F270+San!F270+Ref!F270+Mayor!F270+CFO!F270+MB!F270+Infra!F270</f>
        <v>0</v>
      </c>
      <c r="G270" s="235">
        <f>+Cs!G270+Fin!G270+Rat!G270+MM!G270+Lib!G270+Pry!G270+Hal!G270+Cem!G270+Par!G270+EDv!H245+Str!G270+Ele!G270+Wat!G270+San!G270+Ref!G270+Mayor!G270+CFO!G270+MB!G270+Infra!G270</f>
        <v>0</v>
      </c>
      <c r="H270" s="66" t="s">
        <v>2723</v>
      </c>
      <c r="I270" s="66"/>
    </row>
    <row r="271" spans="1:9" x14ac:dyDescent="0.35">
      <c r="A271" s="66" t="s">
        <v>2918</v>
      </c>
      <c r="B271" s="89">
        <f>+Cs!B271+Fin!B271+Rat!B271+MM!B271+Lib!B271+Pry!B271+Hal!B271+Cem!B271+Par!B271+EDv!C246+Str!B271+Ele!B271+Wat!B271+San!B271+Ref!B271+Mayor!B271+CFO!B271+MB!B271+Infra!B271</f>
        <v>42700</v>
      </c>
      <c r="C271" s="89">
        <f>+Cs!C271+Fin!C271+Rat!C271+MM!C271+Lib!C271+Pry!C271+Hal!C271+Cem!C271+Par!C271+EDv!D246+Str!C271+Ele!C271+Wat!C271+San!C271+Ref!C271+Mayor!C271+CFO!C271+MB!C271+Infra!C271</f>
        <v>42700</v>
      </c>
      <c r="D271" s="89">
        <f>+Cs!D271+Fin!D271+Rat!D271+MM!D271+Lib!D271+Pry!D271+Hal!D271+Cem!D271+Par!D271+EDv!E246+Str!D271+Ele!D271+Wat!D271+San!D271+Ref!D271+Mayor!D271+CFO!D271+MB!D271+Infra!D271</f>
        <v>39212.68</v>
      </c>
      <c r="E271" s="235">
        <f>+Cs!E271+Fin!E271+Rat!E271+MM!E271+Lib!E271+Pry!E271+Hal!E271+Cem!E271+Par!E271+EDv!F246+Str!E271+Ele!E271+Wat!E271+San!E271+Ref!E271+Mayor!E271+CFO!E271+MB!E271+Infra!E271</f>
        <v>43600</v>
      </c>
      <c r="F271" s="235">
        <f>+Cs!F271+Fin!F271+Rat!F271+MM!F271+Lib!F271+Pry!F271+Hal!F271+Cem!F271+Par!F271+EDv!G246+Str!F271+Ele!F271+Wat!F271+San!F271+Ref!F271+Mayor!F271+CFO!F271+MB!F271+Infra!F271</f>
        <v>45700</v>
      </c>
      <c r="G271" s="235">
        <f>+Cs!G271+Fin!G271+Rat!G271+MM!G271+Lib!G271+Pry!G271+Hal!G271+Cem!G271+Par!G271+EDv!H246+Str!G271+Ele!G271+Wat!G271+San!G271+Ref!G271+Mayor!G271+CFO!G271+MB!G271+Infra!G271</f>
        <v>47900</v>
      </c>
      <c r="H271" s="66" t="s">
        <v>2723</v>
      </c>
      <c r="I271" s="66"/>
    </row>
    <row r="272" spans="1:9" x14ac:dyDescent="0.35">
      <c r="A272" s="66" t="s">
        <v>3439</v>
      </c>
      <c r="B272" s="89">
        <f>+Cs!B272+Fin!B272+Rat!B272+MM!B272+Lib!B272+Pry!B272+Hal!B272+Cem!B272+Par!B272+EDv!C247+Str!B272+Ele!B272+Wat!B272+San!B272+Ref!B272+Mayor!B272+CFO!B272+MB!B272+Infra!B272</f>
        <v>245000</v>
      </c>
      <c r="C272" s="89">
        <f>+Cs!C272+Fin!C272+Rat!C272+MM!C272+Lib!C272+Pry!C272+Hal!C272+Cem!C272+Par!C272+EDv!D247+Str!C272+Ele!C272+Wat!C272+San!C272+Ref!C272+Mayor!C272+CFO!C272+MB!C272+Infra!C272</f>
        <v>245000</v>
      </c>
      <c r="D272" s="89">
        <f>+Cs!D272+Fin!D272+Rat!D272+MM!D272+Lib!D272+Pry!D272+Hal!D272+Cem!D272+Par!D272+EDv!E247+Str!D272+Ele!D272+Wat!D272+San!D272+Ref!D272+Mayor!D272+CFO!D272+MB!D272+Infra!D272</f>
        <v>229970.96</v>
      </c>
      <c r="E272" s="235">
        <f>+Cs!E272+Fin!E272+Rat!E272+MM!E272+Lib!E272+Pry!E272+Hal!E272+Cem!E272+Par!E272+EDv!F247+Str!E272+Ele!E272+Wat!E272+San!E272+Ref!E272+Mayor!E272+CFO!E272+MB!E272+Infra!E272</f>
        <v>244700</v>
      </c>
      <c r="F272" s="235">
        <f>+Cs!F272+Fin!F272+Rat!F272+MM!F272+Lib!F272+Pry!F272+Hal!F272+Cem!F272+Par!F272+EDv!G247+Str!F272+Ele!F272+Wat!F272+San!F272+Ref!F272+Mayor!F272+CFO!F272+MB!F272+Infra!F272</f>
        <v>260400</v>
      </c>
      <c r="G272" s="235">
        <f>+Cs!G272+Fin!G272+Rat!G272+MM!G272+Lib!G272+Pry!G272+Hal!G272+Cem!G272+Par!G272+EDv!H247+Str!G272+Ele!G272+Wat!G272+San!G272+Ref!G272+Mayor!G272+CFO!G272+MB!G272+Infra!G272</f>
        <v>277400</v>
      </c>
      <c r="H272" s="66" t="s">
        <v>2722</v>
      </c>
      <c r="I272" s="66"/>
    </row>
    <row r="273" spans="1:9" x14ac:dyDescent="0.35">
      <c r="A273" s="66" t="s">
        <v>3048</v>
      </c>
      <c r="B273" s="89">
        <f>+Cs!B273+Fin!B273+Rat!B273+MM!B273+Lib!B273+Pry!B273+Hal!B273+Cem!B273+Par!B273+EDv!C248+Str!B273+Ele!B273+Wat!B273+San!B273+Ref!B273+Mayor!B273+CFO!B273+MB!B273+Infra!B273</f>
        <v>0</v>
      </c>
      <c r="C273" s="89">
        <f>+Cs!C273+Fin!C273+Rat!C273+MM!C273+Lib!C273+Pry!C273+Hal!C273+Cem!C273+Par!C273+EDv!D248+Str!C273+Ele!C273+Wat!C273+San!C273+Ref!C273+Mayor!C273+CFO!C273+MB!C273+Infra!C273</f>
        <v>0</v>
      </c>
      <c r="D273" s="89">
        <f>+Cs!D273+Fin!D273+Rat!D273+MM!D273+Lib!D273+Pry!D273+Hal!D273+Cem!D273+Par!D273+EDv!E248+Str!D273+Ele!D273+Wat!D273+San!D273+Ref!D273+Mayor!D273+CFO!D273+MB!D273+Infra!D273</f>
        <v>0</v>
      </c>
      <c r="E273" s="235">
        <f>+Cs!E273+Fin!E273+Rat!E273+MM!E273+Lib!E273+Pry!E273+Hal!E273+Cem!E273+Par!E273+EDv!F248+Str!E273+Ele!E273+Wat!E273+San!E273+Ref!E273+Mayor!E273+CFO!E273+MB!E273+Infra!E273</f>
        <v>100000</v>
      </c>
      <c r="F273" s="235">
        <f>+Cs!F273+Fin!F273+Rat!F273+MM!F273+Lib!F273+Pry!F273+Hal!F273+Cem!F273+Par!F273+EDv!G248+Str!F273+Ele!F273+Wat!F273+San!F273+Ref!F273+Mayor!F273+CFO!F273+MB!F273+Infra!F273</f>
        <v>100000</v>
      </c>
      <c r="G273" s="235">
        <f>+Cs!G273+Fin!G273+Rat!G273+MM!G273+Lib!G273+Pry!G273+Hal!G273+Cem!G273+Par!G273+EDv!H248+Str!G273+Ele!G273+Wat!G273+San!G273+Ref!G273+Mayor!G273+CFO!G273+MB!G273+Infra!G273</f>
        <v>100000</v>
      </c>
      <c r="H273" s="66" t="s">
        <v>2722</v>
      </c>
      <c r="I273" s="66"/>
    </row>
    <row r="274" spans="1:9" x14ac:dyDescent="0.35">
      <c r="A274" s="66" t="s">
        <v>2864</v>
      </c>
      <c r="B274" s="89">
        <f>+Cs!B274+Fin!B274+Rat!B274+MM!B274+Lib!B274+Pry!B274+Hal!B274+Cem!B274+Par!B274+EDv!C249+Str!B274+Ele!B274+Wat!B274+San!B274+Ref!B274+Mayor!B274+CFO!B274+MB!B274+Infra!B274</f>
        <v>256500</v>
      </c>
      <c r="C274" s="89">
        <f>+Cs!C274+Fin!C274+Rat!C274+MM!C274+Lib!C274+Pry!C274+Hal!C274+Cem!C274+Par!C274+EDv!D249+Str!C274+Ele!C274+Wat!C274+San!C274+Ref!C274+Mayor!C274+CFO!C274+MB!C274+Infra!C274</f>
        <v>256500</v>
      </c>
      <c r="D274" s="89">
        <f>+Cs!D274+Fin!D274+Rat!D274+MM!D274+Lib!D274+Pry!D274+Hal!D274+Cem!D274+Par!D274+EDv!E249+Str!D274+Ele!D274+Wat!D274+San!D274+Ref!D274+Mayor!D274+CFO!D274+MB!D274+Infra!D274</f>
        <v>271939.94</v>
      </c>
      <c r="E274" s="235">
        <f>+Cs!E274+Fin!E274+Rat!E274+MM!E274+Lib!E274+Pry!E274+Hal!E274+Cem!E274+Par!E274+EDv!F249+Str!E274+Ele!E274+Wat!E274+San!E274+Ref!E274+Mayor!E274+CFO!E274+MB!E274+Infra!E274</f>
        <v>294000</v>
      </c>
      <c r="F274" s="235">
        <f>+Cs!F274+Fin!F274+Rat!F274+MM!F274+Lib!F274+Pry!F274+Hal!F274+Cem!F274+Par!F274+EDv!G249+Str!F274+Ele!F274+Wat!F274+San!F274+Ref!F274+Mayor!F274+CFO!F274+MB!F274+Infra!F274</f>
        <v>308100</v>
      </c>
      <c r="G274" s="235">
        <f>+Cs!G274+Fin!G274+Rat!G274+MM!G274+Lib!G274+Pry!G274+Hal!G274+Cem!G274+Par!G274+EDv!H249+Str!G274+Ele!G274+Wat!G274+San!G274+Ref!G274+Mayor!G274+CFO!G274+MB!G274+Infra!G274</f>
        <v>322900</v>
      </c>
      <c r="H274" s="66" t="s">
        <v>3494</v>
      </c>
      <c r="I274" s="66"/>
    </row>
    <row r="275" spans="1:9" x14ac:dyDescent="0.35">
      <c r="A275" s="66" t="s">
        <v>3476</v>
      </c>
      <c r="B275" s="89">
        <f>+Cs!B275+Fin!B275+Rat!B275+MM!B275+Lib!B275+Pry!B275+Hal!B275+Cem!B275+Par!B275+EDv!C250+Str!B275+Ele!B275+Wat!B275+San!B275+Ref!B275+Mayor!B275+CFO!B275+MB!B275+Infra!B275</f>
        <v>80400</v>
      </c>
      <c r="C275" s="89">
        <f>+Cs!C275+Fin!C275+Rat!C275+MM!C275+Lib!C275+Pry!C275+Hal!C275+Cem!C275+Par!C275+EDv!D250+Str!C275+Ele!C275+Wat!C275+San!C275+Ref!C275+Mayor!C275+CFO!C275+MB!C275+Infra!C275</f>
        <v>80400</v>
      </c>
      <c r="D275" s="89">
        <f>+Cs!D275+Fin!D275+Rat!D275+MM!D275+Lib!D275+Pry!D275+Hal!D275+Cem!D275+Par!D275+EDv!E250+Str!D275+Ele!D275+Wat!D275+San!D275+Ref!D275+Mayor!D275+CFO!D275+MB!D275+Infra!D275</f>
        <v>75298</v>
      </c>
      <c r="E275" s="235">
        <f>+Cs!E275+Fin!E275+Rat!E275+MM!E275+Lib!E275+Pry!E275+Hal!E275+Cem!E275+Par!E275+EDv!F250+Str!E275+Ele!E275+Wat!E275+San!E275+Ref!E275+Mayor!E275+CFO!E275+MB!E275+Infra!E275</f>
        <v>79000</v>
      </c>
      <c r="F275" s="235">
        <f>+Cs!F275+Fin!F275+Rat!F275+MM!F275+Lib!F275+Pry!F275+Hal!F275+Cem!F275+Par!F275+EDv!G250+Str!F275+Ele!F275+Wat!F275+San!F275+Ref!F275+Mayor!F275+CFO!F275+MB!F275+Infra!F275</f>
        <v>84000</v>
      </c>
      <c r="G275" s="235">
        <f>+Cs!G275+Fin!G275+Rat!G275+MM!G275+Lib!G275+Pry!G275+Hal!G275+Cem!G275+Par!G275+EDv!H250+Str!G275+Ele!G275+Wat!G275+San!G275+Ref!G275+Mayor!G275+CFO!G275+MB!G275+Infra!G275</f>
        <v>89300</v>
      </c>
      <c r="H275" s="66" t="s">
        <v>2722</v>
      </c>
      <c r="I275" s="66"/>
    </row>
    <row r="276" spans="1:9" x14ac:dyDescent="0.35">
      <c r="A276" s="66" t="s">
        <v>3418</v>
      </c>
      <c r="B276" s="89">
        <f>+Cs!B276+Fin!B276+Rat!B276+MM!B276+Lib!B276+Pry!B276+Hal!B276+Cem!B276+Par!B276+EDv!C251+Str!B276+Ele!B276+Wat!B276+San!B276+Ref!B276+Mayor!B276+CFO!B276+MB!B276+Infra!B276</f>
        <v>21600</v>
      </c>
      <c r="C276" s="89">
        <f>+Cs!C276+Fin!C276+Rat!C276+MM!C276+Lib!C276+Pry!C276+Hal!C276+Cem!C276+Par!C276+EDv!D251+Str!C276+Ele!C276+Wat!C276+San!C276+Ref!C276+Mayor!C276+CFO!C276+MB!C276+Infra!C276</f>
        <v>21600</v>
      </c>
      <c r="D276" s="89">
        <f>+Cs!D276+Fin!D276+Rat!D276+MM!D276+Lib!D276+Pry!D276+Hal!D276+Cem!D276+Par!D276+EDv!E251+Str!D276+Ele!D276+Wat!D276+San!D276+Ref!D276+Mayor!D276+CFO!D276+MB!D276+Infra!D276</f>
        <v>15618.97</v>
      </c>
      <c r="E276" s="235">
        <f>+Cs!E276+Fin!E276+Rat!E276+MM!E276+Lib!E276+Pry!E276+Hal!E276+Cem!E276+Par!E276+EDv!F251+Str!E276+Ele!E276+Wat!E276+San!E276+Ref!E276+Mayor!E276+CFO!E276+MB!E276+Infra!E276</f>
        <v>21600</v>
      </c>
      <c r="F276" s="235">
        <f>+Cs!F276+Fin!F276+Rat!F276+MM!F276+Lib!F276+Pry!F276+Hal!F276+Cem!F276+Par!F276+EDv!G251+Str!F276+Ele!F276+Wat!F276+San!F276+Ref!F276+Mayor!F276+CFO!F276+MB!F276+Infra!F276</f>
        <v>22800</v>
      </c>
      <c r="G276" s="235">
        <f>+Cs!G276+Fin!G276+Rat!G276+MM!G276+Lib!G276+Pry!G276+Hal!G276+Cem!G276+Par!G276+EDv!H251+Str!G276+Ele!G276+Wat!G276+San!G276+Ref!G276+Mayor!G276+CFO!G276+MB!G276+Infra!G276</f>
        <v>24100</v>
      </c>
      <c r="H276" s="66" t="s">
        <v>2723</v>
      </c>
      <c r="I276" s="66"/>
    </row>
    <row r="277" spans="1:9" x14ac:dyDescent="0.35">
      <c r="A277" s="66" t="s">
        <v>3042</v>
      </c>
      <c r="B277" s="89">
        <f>+Cs!B277+Fin!B277+Rat!B277+MM!B277+Lib!B277+Pry!B277+Hal!B277+Cem!B277+Par!B277+EDv!C252+Str!B277+Ele!B277+Wat!B277+San!B277+Ref!B277+Mayor!B277+CFO!B277+MB!B277+Infra!B277</f>
        <v>113100</v>
      </c>
      <c r="C277" s="89">
        <f>+Cs!C277+Fin!C277+Rat!C277+MM!C277+Lib!C277+Pry!C277+Hal!C277+Cem!C277+Par!C277+EDv!D252+Str!C277+Ele!C277+Wat!C277+San!C277+Ref!C277+Mayor!C277+CFO!C277+MB!C277+Infra!C277</f>
        <v>113100</v>
      </c>
      <c r="D277" s="89">
        <f>+Cs!D277+Fin!D277+Rat!D277+MM!D277+Lib!D277+Pry!D277+Hal!D277+Cem!D277+Par!D277+EDv!E252+Str!D277+Ele!D277+Wat!D277+San!D277+Ref!D277+Mayor!D277+CFO!D277+MB!D277+Infra!D277</f>
        <v>39288.089999999997</v>
      </c>
      <c r="E277" s="235">
        <f>+Cs!E277+Fin!E277+Rat!E277+MM!E277+Lib!E277+Pry!E277+Hal!E277+Cem!E277+Par!E277+EDv!F252+Str!E277+Ele!E277+Wat!E277+San!E277+Ref!E277+Mayor!E277+CFO!E277+MB!E277+Infra!E277</f>
        <v>54300</v>
      </c>
      <c r="F277" s="235">
        <f>+Cs!F277+Fin!F277+Rat!F277+MM!F277+Lib!F277+Pry!F277+Hal!F277+Cem!F277+Par!F277+EDv!G252+Str!F277+Ele!F277+Wat!F277+San!F277+Ref!F277+Mayor!F277+CFO!F277+MB!F277+Infra!F277</f>
        <v>56900</v>
      </c>
      <c r="G277" s="235">
        <f>+Cs!G277+Fin!G277+Rat!G277+MM!G277+Lib!G277+Pry!G277+Hal!G277+Cem!G277+Par!G277+EDv!H252+Str!G277+Ele!G277+Wat!G277+San!G277+Ref!G277+Mayor!G277+CFO!G277+MB!G277+Infra!G277</f>
        <v>59600</v>
      </c>
      <c r="H277" s="66" t="s">
        <v>2722</v>
      </c>
      <c r="I277" s="66"/>
    </row>
    <row r="278" spans="1:9" x14ac:dyDescent="0.35">
      <c r="A278" s="66" t="s">
        <v>2988</v>
      </c>
      <c r="B278" s="89">
        <f>+Cs!B278+Fin!B278+Rat!B278+MM!B278+Lib!B278+Pry!B278+Hal!B278+Cem!B278+Par!B278+EDv!C253+Str!B278+Ele!B278+Wat!B278+San!B278+Ref!B278+Mayor!B278+CFO!B278+MB!B278+Infra!B278</f>
        <v>50000</v>
      </c>
      <c r="C278" s="89">
        <f>+Cs!C278+Fin!C278+Rat!C278+MM!C278+Lib!C278+Pry!C278+Hal!C278+Cem!C278+Par!C278+EDv!D253+Str!C278+Ele!C278+Wat!C278+San!C278+Ref!C278+Mayor!C278+CFO!C278+MB!C278+Infra!C278</f>
        <v>0</v>
      </c>
      <c r="D278" s="89">
        <f>+Cs!D278+Fin!D278+Rat!D278+MM!D278+Lib!D278+Pry!D278+Hal!D278+Cem!D278+Par!D278+EDv!E253+Str!D278+Ele!D278+Wat!D278+San!D278+Ref!D278+Mayor!D278+CFO!D278+MB!D278+Infra!D278</f>
        <v>0</v>
      </c>
      <c r="E278" s="235">
        <f>+Cs!E278+Fin!E278+Rat!E278+MM!E278+Lib!E278+Pry!E278+Hal!E278+Cem!E278+Par!E278+EDv!F253+Str!E278+Ele!E278+Wat!E278+San!E278+Ref!E278+Mayor!E278+CFO!E278+MB!E278+Infra!E278</f>
        <v>50000</v>
      </c>
      <c r="F278" s="235">
        <f>+Cs!F278+Fin!F278+Rat!F278+MM!F278+Lib!F278+Pry!F278+Hal!F278+Cem!F278+Par!F278+EDv!G253+Str!F278+Ele!F278+Wat!F278+San!F278+Ref!F278+Mayor!F278+CFO!F278+MB!F278+Infra!F278</f>
        <v>52800</v>
      </c>
      <c r="G278" s="235">
        <f>+Cs!G278+Fin!G278+Rat!G278+MM!G278+Lib!G278+Pry!G278+Hal!G278+Cem!G278+Par!G278+EDv!H253+Str!G278+Ele!G278+Wat!G278+San!G278+Ref!G278+Mayor!G278+CFO!G278+MB!G278+Infra!G278</f>
        <v>55800</v>
      </c>
      <c r="H278" s="66" t="s">
        <v>2722</v>
      </c>
      <c r="I278" s="66"/>
    </row>
    <row r="279" spans="1:9" x14ac:dyDescent="0.35">
      <c r="A279" s="66" t="s">
        <v>2989</v>
      </c>
      <c r="B279" s="89">
        <f>+Cs!B279+Fin!B279+Rat!B279+MM!B279+Lib!B279+Pry!B279+Hal!B279+Cem!B279+Par!B279+EDv!C254+Str!B279+Ele!B279+Wat!B279+San!B279+Ref!B279+Mayor!B279+CFO!B279+MB!B279+Infra!B279</f>
        <v>135000</v>
      </c>
      <c r="C279" s="89">
        <f>+Cs!C279+Fin!C279+Rat!C279+MM!C279+Lib!C279+Pry!C279+Hal!C279+Cem!C279+Par!C279+EDv!D254+Str!C279+Ele!C279+Wat!C279+San!C279+Ref!C279+Mayor!C279+CFO!C279+MB!C279+Infra!C279</f>
        <v>135000</v>
      </c>
      <c r="D279" s="89">
        <f>+Cs!D279+Fin!D279+Rat!D279+MM!D279+Lib!D279+Pry!D279+Hal!D279+Cem!D279+Par!D279+EDv!E254+Str!D279+Ele!D279+Wat!D279+San!D279+Ref!D279+Mayor!D279+CFO!D279+MB!D279+Infra!D279</f>
        <v>129025</v>
      </c>
      <c r="E279" s="235">
        <f>+Cs!E279+Fin!E279+Rat!E279+MM!E279+Lib!E279+Pry!E279+Hal!E279+Cem!E279+Par!E279+EDv!F254+Str!E279+Ele!E279+Wat!E279+San!E279+Ref!E279+Mayor!E279+CFO!E279+MB!E279+Infra!E279</f>
        <v>135000</v>
      </c>
      <c r="F279" s="235">
        <f>+Cs!F279+Fin!F279+Rat!F279+MM!F279+Lib!F279+Pry!F279+Hal!F279+Cem!F279+Par!F279+EDv!G254+Str!F279+Ele!F279+Wat!F279+San!F279+Ref!F279+Mayor!F279+CFO!F279+MB!F279+Infra!F279</f>
        <v>142500</v>
      </c>
      <c r="G279" s="235">
        <f>+Cs!G279+Fin!G279+Rat!G279+MM!G279+Lib!G279+Pry!G279+Hal!G279+Cem!G279+Par!G279+EDv!H254+Str!G279+Ele!G279+Wat!G279+San!G279+Ref!G279+Mayor!G279+CFO!G279+MB!G279+Infra!G279</f>
        <v>150400</v>
      </c>
      <c r="H279" s="66" t="s">
        <v>2722</v>
      </c>
      <c r="I279" s="66"/>
    </row>
    <row r="280" spans="1:9" x14ac:dyDescent="0.35">
      <c r="A280" s="66" t="s">
        <v>3447</v>
      </c>
      <c r="B280" s="89">
        <f>+Cs!B280+Fin!B280+Rat!B280+MM!B280+Lib!B280+Pry!B280+Hal!B280+Cem!B280+Par!B280+EDv!C255+Str!B280+Ele!B280+Wat!B280+San!B280+Ref!B280+Mayor!B280+CFO!B280+MB!B280+Infra!B280</f>
        <v>853400</v>
      </c>
      <c r="C280" s="89">
        <f>+Cs!C280+Fin!C280+Rat!C280+MM!C280+Lib!C280+Pry!C280+Hal!C280+Cem!C280+Par!C280+EDv!D255+Str!C280+Ele!C280+Wat!C280+San!C280+Ref!C280+Mayor!C280+CFO!C280+MB!C280+Infra!C280</f>
        <v>853400</v>
      </c>
      <c r="D280" s="89">
        <f>+Cs!D280+Fin!D280+Rat!D280+MM!D280+Lib!D280+Pry!D280+Hal!D280+Cem!D280+Par!D280+EDv!E255+Str!D280+Ele!D280+Wat!D280+San!D280+Ref!D280+Mayor!D280+CFO!D280+MB!D280+Infra!D280</f>
        <v>850268.17999999993</v>
      </c>
      <c r="E280" s="235">
        <f>+Cs!E280+Fin!E280+Rat!E280+MM!E280+Lib!E280+Pry!E280+Hal!E280+Cem!E280+Par!E280+EDv!F255+Str!E280+Ele!E280+Wat!E280+San!E280+Ref!E280+Mayor!E280+CFO!E280+MB!E280+Infra!E280</f>
        <v>876100</v>
      </c>
      <c r="F280" s="235">
        <f>+Cs!F280+Fin!F280+Rat!F280+MM!F280+Lib!F280+Pry!F280+Hal!F280+Cem!F280+Par!F280+EDv!G255+Str!F280+Ele!F280+Wat!F280+San!F280+Ref!F280+Mayor!F280+CFO!F280+MB!F280+Infra!F280</f>
        <v>1000800</v>
      </c>
      <c r="G280" s="235">
        <f>+Cs!G280+Fin!G280+Rat!G280+MM!G280+Lib!G280+Pry!G280+Hal!G280+Cem!G280+Par!G280+EDv!H255+Str!G280+Ele!G280+Wat!G280+San!G280+Ref!G280+Mayor!G280+CFO!G280+MB!G280+Infra!G280</f>
        <v>1053600</v>
      </c>
      <c r="H280" s="66" t="s">
        <v>2722</v>
      </c>
      <c r="I280" s="66"/>
    </row>
    <row r="281" spans="1:9" x14ac:dyDescent="0.35">
      <c r="A281" s="66" t="s">
        <v>2892</v>
      </c>
      <c r="B281" s="89">
        <f>+Cs!B281+Fin!B281+Rat!B281+MM!B281+Lib!B281+Pry!B281+Hal!B281+Cem!B281+Par!B281+EDv!C256+Str!B281+Ele!B281+Wat!B281+San!B281+Ref!B281+Mayor!B281+CFO!B281+MB!B281+Infra!B281</f>
        <v>150000</v>
      </c>
      <c r="C281" s="89">
        <f>+Cs!C281+Fin!C281+Rat!C281+MM!C281+Lib!C281+Pry!C281+Hal!C281+Cem!C281+Par!C281+EDv!D256+Str!C281+Ele!C281+Wat!C281+San!C281+Ref!C281+Mayor!C281+CFO!C281+MB!C281+Infra!C281</f>
        <v>150000</v>
      </c>
      <c r="D281" s="89">
        <f>+Cs!D281+Fin!D281+Rat!D281+MM!D281+Lib!D281+Pry!D281+Hal!D281+Cem!D281+Par!D281+EDv!E256+Str!D281+Ele!D281+Wat!D281+San!D281+Ref!D281+Mayor!D281+CFO!D281+MB!D281+Infra!D281</f>
        <v>147912.16</v>
      </c>
      <c r="E281" s="235">
        <f>+Cs!E281+Fin!E281+Rat!E281+MM!E281+Lib!E281+Pry!E281+Hal!E281+Cem!E281+Par!E281+EDv!F256+Str!E281+Ele!E281+Wat!E281+San!E281+Ref!E281+Mayor!E281+CFO!E281+MB!E281+Infra!E281</f>
        <v>170000</v>
      </c>
      <c r="F281" s="235">
        <f>+Cs!F281+Fin!F281+Rat!F281+MM!F281+Lib!F281+Pry!F281+Hal!F281+Cem!F281+Par!F281+EDv!G256+Str!F281+Ele!F281+Wat!F281+San!F281+Ref!F281+Mayor!F281+CFO!F281+MB!F281+Infra!F281</f>
        <v>177800</v>
      </c>
      <c r="G281" s="235">
        <f>+Cs!G281+Fin!G281+Rat!G281+MM!G281+Lib!G281+Pry!G281+Hal!G281+Cem!G281+Par!G281+EDv!H256+Str!G281+Ele!G281+Wat!G281+San!G281+Ref!G281+Mayor!G281+CFO!G281+MB!G281+Infra!G281</f>
        <v>186000</v>
      </c>
      <c r="H281" s="66" t="s">
        <v>2722</v>
      </c>
      <c r="I281" s="66"/>
    </row>
    <row r="282" spans="1:9" x14ac:dyDescent="0.35">
      <c r="A282" s="66" t="s">
        <v>2990</v>
      </c>
      <c r="B282" s="89">
        <f>+Cs!B282+Fin!B282+Rat!B282+MM!B282+Lib!B282+Pry!B282+Hal!B282+Cem!B282+Par!B282+EDv!C257+Str!B282+Ele!B282+Wat!B282+San!B282+Ref!B282+Mayor!B282+CFO!B282+MB!B282+Infra!B282</f>
        <v>50000</v>
      </c>
      <c r="C282" s="89">
        <f>+Cs!C282+Fin!C282+Rat!C282+MM!C282+Lib!C282+Pry!C282+Hal!C282+Cem!C282+Par!C282+EDv!D257+Str!C282+Ele!C282+Wat!C282+San!C282+Ref!C282+Mayor!C282+CFO!C282+MB!C282+Infra!C282</f>
        <v>50000</v>
      </c>
      <c r="D282" s="89">
        <f>+Cs!D282+Fin!D282+Rat!D282+MM!D282+Lib!D282+Pry!D282+Hal!D282+Cem!D282+Par!D282+EDv!E257+Str!D282+Ele!D282+Wat!D282+San!D282+Ref!D282+Mayor!D282+CFO!D282+MB!D282+Infra!D282</f>
        <v>42156</v>
      </c>
      <c r="E282" s="235">
        <f>+Cs!E282+Fin!E282+Rat!E282+MM!E282+Lib!E282+Pry!E282+Hal!E282+Cem!E282+Par!E282+EDv!F257+Str!E282+Ele!E282+Wat!E282+San!E282+Ref!E282+Mayor!E282+CFO!E282+MB!E282+Infra!E282</f>
        <v>50000</v>
      </c>
      <c r="F282" s="235">
        <f>+Cs!F282+Fin!F282+Rat!F282+MM!F282+Lib!F282+Pry!F282+Hal!F282+Cem!F282+Par!F282+EDv!G257+Str!F282+Ele!F282+Wat!F282+San!F282+Ref!F282+Mayor!F282+CFO!F282+MB!F282+Infra!F282</f>
        <v>50000</v>
      </c>
      <c r="G282" s="235">
        <f>+Cs!G282+Fin!G282+Rat!G282+MM!G282+Lib!G282+Pry!G282+Hal!G282+Cem!G282+Par!G282+EDv!H257+Str!G282+Ele!G282+Wat!G282+San!G282+Ref!G282+Mayor!G282+CFO!G282+MB!G282+Infra!G282</f>
        <v>50000</v>
      </c>
      <c r="H282" s="66" t="s">
        <v>2723</v>
      </c>
      <c r="I282" s="66"/>
    </row>
    <row r="283" spans="1:9" x14ac:dyDescent="0.35">
      <c r="A283" s="66" t="s">
        <v>2991</v>
      </c>
      <c r="B283" s="89">
        <f>+Cs!B283+Fin!B283+Rat!B283+MM!B283+Lib!B283+Pry!B283+Hal!B283+Cem!B283+Par!B283+EDv!C258+Str!B283+Ele!B283+Wat!B283+San!B283+Ref!B283+Mayor!B283+CFO!B283+MB!B283+Infra!B283</f>
        <v>0</v>
      </c>
      <c r="C283" s="89">
        <f>+Cs!C283+Fin!C283+Rat!C283+MM!C283+Lib!C283+Pry!C283+Hal!C283+Cem!C283+Par!C283+EDv!D258+Str!C283+Ele!C283+Wat!C283+San!C283+Ref!C283+Mayor!C283+CFO!C283+MB!C283+Infra!C283</f>
        <v>0</v>
      </c>
      <c r="D283" s="89">
        <f>+Cs!D283+Fin!D283+Rat!D283+MM!D283+Lib!D283+Pry!D283+Hal!D283+Cem!D283+Par!D283+EDv!E258+Str!D283+Ele!D283+Wat!D283+San!D283+Ref!D283+Mayor!D283+CFO!D283+MB!D283+Infra!D283</f>
        <v>0</v>
      </c>
      <c r="E283" s="235">
        <f>+Cs!E283+Fin!E283+Rat!E283+MM!E283+Lib!E283+Pry!E283+Hal!E283+Cem!E283+Par!E283+EDv!F258+Str!E283+Ele!E283+Wat!E283+San!E283+Ref!E283+Mayor!E283+CFO!E283+MB!E283+Infra!E283</f>
        <v>0</v>
      </c>
      <c r="F283" s="235">
        <f>+Cs!F283+Fin!F283+Rat!F283+MM!F283+Lib!F283+Pry!F283+Hal!F283+Cem!F283+Par!F283+EDv!G258+Str!F283+Ele!F283+Wat!F283+San!F283+Ref!F283+Mayor!F283+CFO!F283+MB!F283+Infra!F283</f>
        <v>0</v>
      </c>
      <c r="G283" s="235">
        <f>+Cs!G283+Fin!G283+Rat!G283+MM!G283+Lib!G283+Pry!G283+Hal!G283+Cem!G283+Par!G283+EDv!H258+Str!G283+Ele!G283+Wat!G283+San!G283+Ref!G283+Mayor!G283+CFO!G283+MB!G283+Infra!G283</f>
        <v>0</v>
      </c>
      <c r="H283" s="66" t="s">
        <v>2722</v>
      </c>
      <c r="I283" s="66"/>
    </row>
    <row r="284" spans="1:9" x14ac:dyDescent="0.35">
      <c r="A284" s="66" t="s">
        <v>3054</v>
      </c>
      <c r="B284" s="89">
        <f>+Cs!B284+Fin!B284+Rat!B284+MM!B284+Lib!B284+Pry!B284+Hal!B284+Cem!B284+Par!B284+EDv!C259+Str!B284+Ele!B284+Wat!B284+San!B284+Ref!B284+Mayor!B284+CFO!B284+MB!B284+Infra!B284</f>
        <v>280000</v>
      </c>
      <c r="C284" s="89">
        <f>+Cs!C284+Fin!C284+Rat!C284+MM!C284+Lib!C284+Pry!C284+Hal!C284+Cem!C284+Par!C284+EDv!D259+Str!C284+Ele!C284+Wat!C284+San!C284+Ref!C284+Mayor!C284+CFO!C284+MB!C284+Infra!C284</f>
        <v>220000</v>
      </c>
      <c r="D284" s="89">
        <f>+Cs!D284+Fin!D284+Rat!D284+MM!D284+Lib!D284+Pry!D284+Hal!D284+Cem!D284+Par!D284+EDv!E259+Str!D284+Ele!D284+Wat!D284+San!D284+Ref!D284+Mayor!D284+CFO!D284+MB!D284+Infra!D284</f>
        <v>214500</v>
      </c>
      <c r="E284" s="235">
        <f>+Cs!E284+Fin!E284+Rat!E284+MM!E284+Lib!E284+Pry!E284+Hal!E284+Cem!E284+Par!E284+EDv!F259+Str!E284+Ele!E284+Wat!E284+San!E284+Ref!E284+Mayor!E284+CFO!E284+MB!E284+Infra!E284</f>
        <v>280000</v>
      </c>
      <c r="F284" s="235">
        <f>+Cs!F284+Fin!F284+Rat!F284+MM!F284+Lib!F284+Pry!F284+Hal!F284+Cem!F284+Par!F284+EDv!G259+Str!F284+Ele!F284+Wat!F284+San!F284+Ref!F284+Mayor!F284+CFO!F284+MB!F284+Infra!F284</f>
        <v>280000</v>
      </c>
      <c r="G284" s="235">
        <f>+Cs!G284+Fin!G284+Rat!G284+MM!G284+Lib!G284+Pry!G284+Hal!G284+Cem!G284+Par!G284+EDv!H259+Str!G284+Ele!G284+Wat!G284+San!G284+Ref!G284+Mayor!G284+CFO!G284+MB!G284+Infra!G284</f>
        <v>280000</v>
      </c>
      <c r="H284" s="66" t="s">
        <v>2722</v>
      </c>
      <c r="I284" s="66"/>
    </row>
    <row r="285" spans="1:9" x14ac:dyDescent="0.35">
      <c r="A285" s="66" t="s">
        <v>2659</v>
      </c>
      <c r="B285" s="89">
        <f>+Cs!B285+Fin!B285+Rat!B285+MM!B285+Lib!B285+Pry!B285+Hal!B285+Cem!B285+Par!B285+EDv!C260+Str!B285+Ele!B285+Wat!B285+San!B285+Ref!B285+Mayor!B285+CFO!B285+MB!B285+Infra!B285</f>
        <v>312000</v>
      </c>
      <c r="C285" s="89">
        <f>+Cs!C285+Fin!C285+Rat!C285+MM!C285+Lib!C285+Pry!C285+Hal!C285+Cem!C285+Par!C285+EDv!D260+Str!C285+Ele!C285+Wat!C285+San!C285+Ref!C285+Mayor!C285+CFO!C285+MB!C285+Infra!C285</f>
        <v>112000</v>
      </c>
      <c r="D285" s="89">
        <f>+Cs!D285+Fin!D285+Rat!D285+MM!D285+Lib!D285+Pry!D285+Hal!D285+Cem!D285+Par!D285+EDv!E260+Str!D285+Ele!D285+Wat!D285+San!D285+Ref!D285+Mayor!D285+CFO!D285+MB!D285+Infra!D285</f>
        <v>265953.51</v>
      </c>
      <c r="E285" s="235">
        <f>+Cs!E285+Fin!E285+Rat!E285+MM!E285+Lib!E285+Pry!E285+Hal!E285+Cem!E285+Par!E285+EDv!F260+Str!E285+Ele!E285+Wat!E285+San!E285+Ref!E285+Mayor!E285+CFO!E285+MB!E285+Infra!E285</f>
        <v>312000</v>
      </c>
      <c r="F285" s="235">
        <f>+Cs!F285+Fin!F285+Rat!F285+MM!F285+Lib!F285+Pry!F285+Hal!F285+Cem!F285+Par!F285+EDv!G260+Str!F285+Ele!F285+Wat!F285+San!F285+Ref!F285+Mayor!F285+CFO!F285+MB!F285+Infra!F285</f>
        <v>330500</v>
      </c>
      <c r="G285" s="235">
        <f>+Cs!G285+Fin!G285+Rat!G285+MM!G285+Lib!G285+Pry!G285+Hal!G285+Cem!G285+Par!G285+EDv!H260+Str!G285+Ele!G285+Wat!G285+San!G285+Ref!G285+Mayor!G285+CFO!G285+MB!G285+Infra!G285</f>
        <v>350000</v>
      </c>
      <c r="H285" s="66" t="s">
        <v>2723</v>
      </c>
      <c r="I285" s="66"/>
    </row>
    <row r="286" spans="1:9" x14ac:dyDescent="0.35">
      <c r="A286" s="66" t="s">
        <v>2865</v>
      </c>
      <c r="B286" s="89">
        <f>+Cs!B286+Fin!B286+Rat!B286+MM!B286+Lib!B286+Pry!B286+Hal!B286+Cem!B286+Par!B286+EDv!C261+Str!B286+Ele!B286+Wat!B286+San!B286+Ref!B286+Mayor!B286+CFO!B286+MB!B286+Infra!B286</f>
        <v>45000</v>
      </c>
      <c r="C286" s="89">
        <f>+Cs!C286+Fin!C286+Rat!C286+MM!C286+Lib!C286+Pry!C286+Hal!C286+Cem!C286+Par!C286+EDv!D261+Str!C286+Ele!C286+Wat!C286+San!C286+Ref!C286+Mayor!C286+CFO!C286+MB!C286+Infra!C286</f>
        <v>45000</v>
      </c>
      <c r="D286" s="89">
        <f>+Cs!D286+Fin!D286+Rat!D286+MM!D286+Lib!D286+Pry!D286+Hal!D286+Cem!D286+Par!D286+EDv!E261+Str!D286+Ele!D286+Wat!D286+San!D286+Ref!D286+Mayor!D286+CFO!D286+MB!D286+Infra!D286</f>
        <v>36456.28</v>
      </c>
      <c r="E286" s="235">
        <f>+Cs!E286+Fin!E286+Rat!E286+MM!E286+Lib!E286+Pry!E286+Hal!E286+Cem!E286+Par!E286+EDv!F261+Str!E286+Ele!E286+Wat!E286+San!E286+Ref!E286+Mayor!E286+CFO!E286+MB!E286+Infra!E286</f>
        <v>45000</v>
      </c>
      <c r="F286" s="235">
        <f>+Cs!F286+Fin!F286+Rat!F286+MM!F286+Lib!F286+Pry!F286+Hal!F286+Cem!F286+Par!F286+EDv!G261+Str!F286+Ele!F286+Wat!F286+San!F286+Ref!F286+Mayor!F286+CFO!F286+MB!F286+Infra!F286</f>
        <v>47500</v>
      </c>
      <c r="G286" s="235">
        <f>+Cs!G286+Fin!G286+Rat!G286+MM!G286+Lib!G286+Pry!G286+Hal!G286+Cem!G286+Par!G286+EDv!H261+Str!G286+Ele!G286+Wat!G286+San!G286+Ref!G286+Mayor!G286+CFO!G286+MB!G286+Infra!G286</f>
        <v>50100</v>
      </c>
      <c r="H286" s="66" t="s">
        <v>2723</v>
      </c>
      <c r="I286" s="66"/>
    </row>
    <row r="287" spans="1:9" x14ac:dyDescent="0.35">
      <c r="A287" s="66" t="s">
        <v>3129</v>
      </c>
      <c r="B287" s="89">
        <f>+Cs!B287+Fin!B287+Rat!B287+MM!B287+Lib!B287+Pry!B287+Hal!B287+Cem!B287+Par!B287+EDv!C262+Str!B287+Ele!B287+Wat!B287+San!B287+Ref!B287+Mayor!B287+CFO!B287+MB!B287+Infra!B287</f>
        <v>0</v>
      </c>
      <c r="C287" s="89">
        <f>+Cs!C287+Fin!C287+Rat!C287+MM!C287+Lib!C287+Pry!C287+Hal!C287+Cem!C287+Par!C287+EDv!D262+Str!C287+Ele!C287+Wat!C287+San!C287+Ref!C287+Mayor!C287+CFO!C287+MB!C287+Infra!C287</f>
        <v>0</v>
      </c>
      <c r="D287" s="89">
        <f>+Cs!D287+Fin!D287+Rat!D287+MM!D287+Lib!D287+Pry!D287+Hal!D287+Cem!D287+Par!D287+EDv!E262+Str!D287+Ele!D287+Wat!D287+San!D287+Ref!D287+Mayor!D287+CFO!D287+MB!D287+Infra!D287</f>
        <v>0</v>
      </c>
      <c r="E287" s="235">
        <f>+Cs!E287+Fin!E287+Rat!E287+MM!E287+Lib!E287+Pry!E287+Hal!E287+Cem!E287+Par!E287+EDv!F262+Str!E287+Ele!E287+Wat!E287+San!E287+Ref!E287+Mayor!E287+CFO!E287+MB!E287+Infra!E287</f>
        <v>0</v>
      </c>
      <c r="F287" s="235">
        <f>+Cs!F287+Fin!F287+Rat!F287+MM!F287+Lib!F287+Pry!F287+Hal!F287+Cem!F287+Par!F287+EDv!G262+Str!F287+Ele!F287+Wat!F287+San!F287+Ref!F287+Mayor!F287+CFO!F287+MB!F287+Infra!F287</f>
        <v>10000000</v>
      </c>
      <c r="G287" s="235">
        <f>+Cs!G287+Fin!G287+Rat!G287+MM!G287+Lib!G287+Pry!G287+Hal!G287+Cem!G287+Par!G287+EDv!H262+Str!G287+Ele!G287+Wat!G287+San!G287+Ref!G287+Mayor!G287+CFO!G287+MB!G287+Infra!G287</f>
        <v>0</v>
      </c>
      <c r="H287" s="66" t="s">
        <v>2887</v>
      </c>
      <c r="I287" s="66"/>
    </row>
    <row r="288" spans="1:9" ht="17.25" customHeight="1" x14ac:dyDescent="0.35">
      <c r="A288" s="66" t="s">
        <v>2962</v>
      </c>
      <c r="B288" s="89">
        <f>+Cs!B288+Fin!B288+Rat!B288+MM!B288+Lib!B288+Pry!B288+Hal!B288+Cem!B288+Par!B288+EDv!C263+Str!B288+Ele!B288+Wat!B288+San!B288+Ref!B288+Mayor!B288+CFO!B288+MB!B288+Infra!B288</f>
        <v>145000</v>
      </c>
      <c r="C288" s="89">
        <f>+Cs!C288+Fin!C288+Rat!C288+MM!C288+Lib!C288+Pry!C288+Hal!C288+Cem!C288+Par!C288+EDv!D263+Str!C288+Ele!C288+Wat!C288+San!C288+Ref!C288+Mayor!C288+CFO!C288+MB!C288+Infra!C288</f>
        <v>145000</v>
      </c>
      <c r="D288" s="89">
        <f>+Cs!D288+Fin!D288+Rat!D288+MM!D288+Lib!D288+Pry!D288+Hal!D288+Cem!D288+Par!D288+EDv!E263+Str!D288+Ele!D288+Wat!D288+San!D288+Ref!D288+Mayor!D288+CFO!D288+MB!D288+Infra!D288</f>
        <v>142153.94</v>
      </c>
      <c r="E288" s="235">
        <f>+Cs!E288+Fin!E288+Rat!E288+MM!E288+Lib!E288+Pry!E288+Hal!E288+Cem!E288+Par!E288+EDv!F263+Str!E288+Ele!E288+Wat!E288+San!E288+Ref!E288+Mayor!E288+CFO!E288+MB!E288+Infra!E288</f>
        <v>205000</v>
      </c>
      <c r="F288" s="235">
        <f>+Cs!F288+Fin!F288+Rat!F288+MM!F288+Lib!F288+Pry!F288+Hal!F288+Cem!F288+Par!F288+EDv!G263+Str!F288+Ele!F288+Wat!F288+San!F288+Ref!F288+Mayor!F288+CFO!F288+MB!F288+Infra!F288</f>
        <v>214500</v>
      </c>
      <c r="G288" s="235">
        <f>+Cs!G288+Fin!G288+Rat!G288+MM!G288+Lib!G288+Pry!G288+Hal!G288+Cem!G288+Par!G288+EDv!H263+Str!G288+Ele!G288+Wat!G288+San!G288+Ref!G288+Mayor!G288+CFO!G288+MB!G288+Infra!G288</f>
        <v>225000</v>
      </c>
      <c r="H288" s="66" t="s">
        <v>2722</v>
      </c>
      <c r="I288" s="66"/>
    </row>
    <row r="289" spans="2:7" x14ac:dyDescent="0.35">
      <c r="B289" s="130"/>
      <c r="C289" s="30"/>
      <c r="D289" s="30"/>
      <c r="E289" s="107"/>
      <c r="F289" s="107"/>
      <c r="G289" s="107"/>
    </row>
    <row r="290" spans="2:7" ht="15" thickBot="1" x14ac:dyDescent="0.4">
      <c r="B290" s="112">
        <f t="shared" ref="B290:G290" si="1">SUM(B125:B289)</f>
        <v>101212000</v>
      </c>
      <c r="C290" s="112">
        <f t="shared" si="1"/>
        <v>73801000</v>
      </c>
      <c r="D290" s="112">
        <f t="shared" si="1"/>
        <v>74027546.710000008</v>
      </c>
      <c r="E290" s="112">
        <f t="shared" si="1"/>
        <v>78751600</v>
      </c>
      <c r="F290" s="112">
        <f t="shared" si="1"/>
        <v>93401000</v>
      </c>
      <c r="G290" s="112">
        <f t="shared" si="1"/>
        <v>86658100</v>
      </c>
    </row>
    <row r="291" spans="2:7" ht="15" thickTop="1" x14ac:dyDescent="0.35">
      <c r="B291" s="130"/>
    </row>
    <row r="292" spans="2:7" ht="15" thickBot="1" x14ac:dyDescent="0.4">
      <c r="B292" s="212">
        <f t="shared" ref="B292:G292" si="2">+B121+B290</f>
        <v>7037000</v>
      </c>
      <c r="C292" s="212">
        <f t="shared" si="2"/>
        <v>5158000</v>
      </c>
      <c r="D292" s="212">
        <f t="shared" si="2"/>
        <v>5646354.1000000089</v>
      </c>
      <c r="E292" s="212">
        <f t="shared" si="2"/>
        <v>7390500</v>
      </c>
      <c r="F292" s="212">
        <f t="shared" si="2"/>
        <v>7067700</v>
      </c>
      <c r="G292" s="212">
        <f t="shared" si="2"/>
        <v>7038600</v>
      </c>
    </row>
    <row r="293" spans="2:7" ht="15" thickTop="1" x14ac:dyDescent="0.35"/>
    <row r="294" spans="2:7" x14ac:dyDescent="0.35">
      <c r="C294" s="111"/>
      <c r="D294" s="113" t="s">
        <v>3468</v>
      </c>
      <c r="E294" s="130">
        <f>+E290-8766000</f>
        <v>69985600</v>
      </c>
      <c r="F294" s="130">
        <f>+F290-20765300</f>
        <v>72635700</v>
      </c>
      <c r="G294" s="130">
        <f>+G290-10628200</f>
        <v>76029900</v>
      </c>
    </row>
    <row r="295" spans="2:7" x14ac:dyDescent="0.35">
      <c r="E295" s="130"/>
    </row>
    <row r="296" spans="2:7" x14ac:dyDescent="0.35">
      <c r="D296" s="113" t="s">
        <v>3466</v>
      </c>
      <c r="E296" s="130">
        <f>+E153+E154+E155+E156+E251+E254</f>
        <v>8766000</v>
      </c>
      <c r="F296" s="111">
        <f>+F153+F155+F215+F254+F287</f>
        <v>20765300</v>
      </c>
      <c r="G296" s="111">
        <f>+G155+G215+G254</f>
        <v>10628200</v>
      </c>
    </row>
    <row r="297" spans="2:7" x14ac:dyDescent="0.35">
      <c r="B297" s="111"/>
      <c r="E297" s="111"/>
    </row>
    <row r="298" spans="2:7" x14ac:dyDescent="0.35">
      <c r="E298" s="130">
        <f>+E123+E294</f>
        <v>6689500</v>
      </c>
      <c r="F298" s="130">
        <f t="shared" ref="F298:G298" si="3">+F123+F294</f>
        <v>6654400</v>
      </c>
      <c r="G298" s="130">
        <f t="shared" si="3"/>
        <v>6972400</v>
      </c>
    </row>
    <row r="301" spans="2:7" x14ac:dyDescent="0.35">
      <c r="E301" s="130"/>
      <c r="F301" s="111"/>
    </row>
  </sheetData>
  <autoFilter ref="G124:I288" xr:uid="{90EF5D63-7857-438F-921F-6704335D13AA}"/>
  <sortState xmlns:xlrd2="http://schemas.microsoft.com/office/spreadsheetml/2017/richdata2" ref="A126:I288">
    <sortCondition ref="A126:A288"/>
  </sortState>
  <printOptions headings="1"/>
  <pageMargins left="0.70866141732283472" right="0.70866141732283472" top="0.74803149606299213" bottom="0.74803149606299213" header="0.31496062992125984" footer="0.31496062992125984"/>
  <pageSetup scale="75" orientation="portrait" r:id="rId1"/>
  <headerFooter>
    <oddFooter>Page &amp;P of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267"/>
  <sheetViews>
    <sheetView topLeftCell="B253" workbookViewId="0">
      <selection activeCell="E271" sqref="E271"/>
    </sheetView>
  </sheetViews>
  <sheetFormatPr defaultColWidth="9.1796875" defaultRowHeight="14.5" x14ac:dyDescent="0.35"/>
  <cols>
    <col min="1" max="1" width="24.7265625" style="113" hidden="1" customWidth="1"/>
    <col min="2" max="2" width="36.1796875" style="113" customWidth="1"/>
    <col min="3" max="3" width="19.7265625" style="113" customWidth="1"/>
    <col min="4" max="4" width="17" style="113" customWidth="1"/>
    <col min="5" max="5" width="15.54296875" style="113" customWidth="1"/>
    <col min="6" max="6" width="15.7265625" style="113" customWidth="1"/>
    <col min="7" max="8" width="15.81640625" style="113" customWidth="1"/>
    <col min="9" max="9" width="35.453125" style="113" customWidth="1"/>
    <col min="10" max="10" width="14" style="113" bestFit="1" customWidth="1"/>
    <col min="11" max="11" width="13.26953125" style="113" bestFit="1" customWidth="1"/>
    <col min="12" max="12" width="11.54296875" style="113" bestFit="1" customWidth="1"/>
    <col min="13" max="13" width="9.7265625" style="113" bestFit="1" customWidth="1"/>
    <col min="14" max="16384" width="9.1796875" style="113"/>
  </cols>
  <sheetData>
    <row r="1" spans="1:9" ht="15" thickBot="1" x14ac:dyDescent="0.4">
      <c r="G1" s="118">
        <v>1</v>
      </c>
      <c r="H1" s="118"/>
    </row>
    <row r="2" spans="1:9" ht="29.5" thickBot="1" x14ac:dyDescent="0.4">
      <c r="A2" s="120" t="s">
        <v>2538</v>
      </c>
      <c r="B2" s="120" t="s">
        <v>2804</v>
      </c>
      <c r="C2" s="121" t="s">
        <v>2599</v>
      </c>
      <c r="D2" s="121" t="s">
        <v>2764</v>
      </c>
      <c r="E2" s="109" t="s">
        <v>2765</v>
      </c>
      <c r="F2" s="109" t="s">
        <v>2600</v>
      </c>
      <c r="G2" s="109" t="s">
        <v>2601</v>
      </c>
      <c r="H2" s="109" t="s">
        <v>2754</v>
      </c>
      <c r="I2" s="109" t="s">
        <v>2704</v>
      </c>
    </row>
    <row r="3" spans="1:9" x14ac:dyDescent="0.35">
      <c r="A3" s="122"/>
      <c r="B3" s="122"/>
      <c r="C3" s="110"/>
      <c r="D3" s="110"/>
      <c r="E3" s="110"/>
      <c r="F3" s="110"/>
      <c r="G3" s="110"/>
      <c r="H3" s="110"/>
    </row>
    <row r="4" spans="1:9" x14ac:dyDescent="0.35">
      <c r="B4" s="117" t="s">
        <v>2673</v>
      </c>
      <c r="C4" s="111"/>
      <c r="D4" s="111"/>
      <c r="E4" s="111"/>
      <c r="F4" s="111"/>
      <c r="G4" s="111"/>
      <c r="H4" s="111"/>
    </row>
    <row r="5" spans="1:9" x14ac:dyDescent="0.35">
      <c r="A5" s="66" t="s">
        <v>1</v>
      </c>
      <c r="B5" s="66" t="s">
        <v>28</v>
      </c>
      <c r="C5" s="89" t="e">
        <f>+Cs!#REF!+Fin!#REF!+Rat!#REF!+MM!#REF!+Lib!#REF!+Pry!#REF!+Hal!#REF!+Cem!#REF!+Par!#REF!+EDv!C17+Str!#REF!+Ele!#REF!+Wat!#REF!+San!#REF!+Ref!#REF!</f>
        <v>#REF!</v>
      </c>
      <c r="D5" s="89" t="e">
        <f>+Cs!#REF!+Fin!#REF!+Rat!#REF!+MM!#REF!+Lib!#REF!+Pry!#REF!+Hal!#REF!+Cem!#REF!+Par!#REF!+EDv!D17+Str!#REF!+Ele!#REF!+Wat!#REF!+San!#REF!+Ref!#REF!</f>
        <v>#REF!</v>
      </c>
      <c r="E5" s="89" t="e">
        <f>+Cs!#REF!+Fin!#REF!+Rat!#REF!+MM!#REF!+Lib!#REF!+Pry!#REF!+Hal!#REF!+Cem!#REF!+Par!#REF!+EDv!E17+Str!#REF!+Ele!#REF!+Wat!#REF!+San!#REF!+Ref!#REF!</f>
        <v>#REF!</v>
      </c>
      <c r="F5" s="89" t="e">
        <f>+Cs!#REF!+Fin!#REF!+Rat!#REF!+MM!#REF!+Lib!#REF!+Pry!#REF!+Hal!#REF!+Cem!#REF!+Par!#REF!+EDv!F17+Str!#REF!+Ele!#REF!+Wat!#REF!+San!#REF!+Ref!#REF!</f>
        <v>#REF!</v>
      </c>
      <c r="G5" s="89" t="e">
        <f>+Cs!#REF!+Fin!#REF!+Rat!#REF!+MM!#REF!+Lib!#REF!+Pry!#REF!+Hal!#REF!+Cem!#REF!+Par!#REF!+EDv!G17+Str!#REF!+Ele!#REF!+Wat!#REF!+San!#REF!+Ref!#REF!</f>
        <v>#REF!</v>
      </c>
      <c r="H5" s="89" t="e">
        <f>+Cs!#REF!+Fin!#REF!+Rat!#REF!+MM!#REF!+Lib!#REF!+Pry!#REF!+Hal!#REF!+Cem!#REF!+Par!#REF!+EDv!H17+Str!#REF!+Ele!#REF!+Wat!#REF!+San!#REF!+Ref!#REF!</f>
        <v>#REF!</v>
      </c>
      <c r="I5" s="66" t="s">
        <v>2707</v>
      </c>
    </row>
    <row r="6" spans="1:9" x14ac:dyDescent="0.35">
      <c r="A6" s="66" t="s">
        <v>3</v>
      </c>
      <c r="B6" s="66" t="s">
        <v>132</v>
      </c>
      <c r="C6" s="89">
        <f>+Cs!B30+Fin!B30+Rat!B30+MM!B30+Lib!B30+Pry!B30+Hal!B30+Cem!B30+Par!B30+EDv!C23+Str!B30+Ele!B30+Wat!B30+San!B30+Ref!B30</f>
        <v>-600</v>
      </c>
      <c r="D6" s="89">
        <f>+Cs!C30+Fin!C30+Rat!C30+MM!C30+Lib!C30+Pry!C30+Hal!C30+Cem!C30+Par!C30+EDv!D23+Str!C30+Ele!C30+Wat!C30+San!C30+Ref!C30</f>
        <v>-600</v>
      </c>
      <c r="E6" s="89">
        <f>+Cs!D30+Fin!D30+Rat!D30+MM!D30+Lib!D30+Pry!D30+Hal!D30+Cem!D30+Par!D30+EDv!E23+Str!D30+Ele!D30+Wat!D30+San!D30+Ref!D30</f>
        <v>-1800</v>
      </c>
      <c r="F6" s="89">
        <f>+Cs!E30+Fin!E30+Rat!E30+MM!E30+Lib!E30+Pry!E30+Hal!E30+Cem!E30+Par!E30+EDv!F23+Str!E30+Ele!E30+Wat!E30+San!E30+Ref!E30</f>
        <v>-2000</v>
      </c>
      <c r="G6" s="89">
        <f>+Cs!F30+Fin!F30+Rat!F30+MM!F30+Lib!F30+Pry!F30+Hal!F30+Cem!F30+Par!F30+EDv!G23+Str!F30+Ele!F30+Wat!F30+San!F30+Ref!F30</f>
        <v>-2000</v>
      </c>
      <c r="H6" s="89">
        <f>+Cs!G30+Fin!G30+Rat!G30+MM!G30+Lib!G30+Pry!G30+Hal!G30+Cem!G30+Par!G30+EDv!H23+Str!G30+Ele!G30+Wat!G30+San!G30+Ref!G30</f>
        <v>-2000</v>
      </c>
      <c r="I6" s="66" t="s">
        <v>2707</v>
      </c>
    </row>
    <row r="7" spans="1:9" x14ac:dyDescent="0.35">
      <c r="A7" s="66" t="s">
        <v>139</v>
      </c>
      <c r="B7" s="66" t="s">
        <v>293</v>
      </c>
      <c r="C7" s="89">
        <f>+Cs!B85+Fin!B85+Rat!B85+MM!B85+Lib!B85+Pry!B85+Hal!B85+Cem!B85+Par!B85+EDv!C60+Str!B85+Ele!B85+Wat!B85+San!B85+Ref!B85</f>
        <v>0</v>
      </c>
      <c r="D7" s="89">
        <f>+Cs!C85+Fin!C85+Rat!C85+MM!C85+Lib!C85+Pry!C85+Hal!C85+Cem!C85+Par!C85+EDv!D60+Str!C85+Ele!C85+Wat!C85+San!C85+Ref!C85</f>
        <v>0</v>
      </c>
      <c r="E7" s="89">
        <f>+Cs!D85+Fin!D85+Rat!D85+MM!D85+Lib!D85+Pry!D85+Hal!D85+Cem!D85+Par!D85+EDv!E60+Str!D85+Ele!D85+Wat!D85+San!D85+Ref!D85</f>
        <v>23940.22</v>
      </c>
      <c r="F7" s="89">
        <f>+Cs!E85+Fin!E85+Rat!E85+MM!E85+Lib!E85+Pry!E85+Hal!E85+Cem!E85+Par!E85+EDv!F60+Str!E85+Ele!E85+Wat!E85+San!E85+Ref!E85</f>
        <v>25100</v>
      </c>
      <c r="G7" s="89">
        <f>+Cs!F85+Fin!F85+Rat!F85+MM!F85+Lib!F85+Pry!F85+Hal!F85+Cem!F85+Par!F85+EDv!G60+Str!F85+Ele!F85+Wat!F85+San!F85+Ref!F85</f>
        <v>26300</v>
      </c>
      <c r="H7" s="89">
        <f>+Cs!G85+Fin!G85+Rat!G85+MM!G85+Lib!G85+Pry!G85+Hal!G85+Cem!G85+Par!G85+EDv!H60+Str!G85+Ele!G85+Wat!G85+San!G85+Ref!G85</f>
        <v>27500</v>
      </c>
      <c r="I7" s="66" t="s">
        <v>2707</v>
      </c>
    </row>
    <row r="8" spans="1:9" x14ac:dyDescent="0.35">
      <c r="A8" s="66" t="s">
        <v>7</v>
      </c>
      <c r="B8" s="66" t="s">
        <v>513</v>
      </c>
      <c r="C8" s="89">
        <f>+Cs!B92+Fin!B92+Rat!B92+MM!B92+Lib!B92+Pry!B92+Hal!B92+Cem!B92+Par!B92+EDv!C70+Str!B92+Ele!B92+Wat!B92+San!B92+Ref!B92</f>
        <v>-9000</v>
      </c>
      <c r="D8" s="89">
        <f>+Cs!C92+Fin!C92+Rat!C92+MM!C92+Lib!C92+Pry!C92+Hal!C92+Cem!C92+Par!C92+EDv!D70+Str!C92+Ele!C92+Wat!C92+San!C92+Ref!C92</f>
        <v>-9000</v>
      </c>
      <c r="E8" s="89">
        <f>+Cs!D92+Fin!D92+Rat!D92+MM!D92+Lib!D92+Pry!D92+Hal!D92+Cem!D92+Par!D92+EDv!E70+Str!D92+Ele!D92+Wat!D92+San!D92+Ref!D92</f>
        <v>-21800.959999999999</v>
      </c>
      <c r="F8" s="89">
        <f>+Cs!E92+Fin!E92+Rat!E92+MM!E92+Lib!E92+Pry!E92+Hal!E92+Cem!E92+Par!E92+EDv!F70+Str!E92+Ele!E92+Wat!E92+San!E92+Ref!E92</f>
        <v>-22800</v>
      </c>
      <c r="G8" s="89">
        <f>+Cs!F92+Fin!F92+Rat!F92+MM!F92+Lib!F92+Pry!F92+Hal!F92+Cem!F92+Par!F92+EDv!G70+Str!F92+Ele!F92+Wat!F92+San!F92+Ref!F92</f>
        <v>-23900</v>
      </c>
      <c r="H8" s="89">
        <f>+Cs!G92+Fin!G92+Rat!G92+MM!G92+Lib!G92+Pry!G92+Hal!G92+Cem!G92+Par!G92+EDv!H70+Str!G92+Ele!G92+Wat!G92+San!G92+Ref!G92</f>
        <v>-25000</v>
      </c>
      <c r="I8" s="66" t="s">
        <v>2707</v>
      </c>
    </row>
    <row r="9" spans="1:9" x14ac:dyDescent="0.35">
      <c r="A9" s="66" t="s">
        <v>9</v>
      </c>
      <c r="B9" s="66" t="s">
        <v>183</v>
      </c>
      <c r="C9" s="89">
        <f>+Cs!B78+Fin!B78+Rat!B78+MM!B78+Lib!B78+Pry!B78+Hal!B78+Cem!B78+Par!B78+EDv!C48+Str!B78+Ele!B78+Wat!B78+San!B78+Ref!B78</f>
        <v>-21800</v>
      </c>
      <c r="D9" s="89">
        <f>+Cs!C78+Fin!C78+Rat!C78+MM!C78+Lib!C78+Pry!C78+Hal!C78+Cem!C78+Par!C78+EDv!D48+Str!C78+Ele!C78+Wat!C78+San!C78+Ref!C78</f>
        <v>-21800</v>
      </c>
      <c r="E9" s="89">
        <f>+Cs!D78+Fin!D78+Rat!D78+MM!D78+Lib!D78+Pry!D78+Hal!D78+Cem!D78+Par!D78+EDv!E48+Str!D78+Ele!D78+Wat!D78+San!D78+Ref!D78</f>
        <v>-19100</v>
      </c>
      <c r="F9" s="89">
        <f>+Cs!E78+Fin!E78+Rat!E78+MM!E78+Lib!E78+Pry!E78+Hal!E78+Cem!E78+Par!E78+EDv!F48+Str!E78+Ele!E78+Wat!E78+San!E78+Ref!E78</f>
        <v>-21800</v>
      </c>
      <c r="G9" s="89">
        <f>+Cs!F78+Fin!F78+Rat!F78+MM!F78+Lib!F78+Pry!F78+Hal!F78+Cem!F78+Par!F78+EDv!G48+Str!F78+Ele!F78+Wat!F78+San!F78+Ref!F78</f>
        <v>-23000</v>
      </c>
      <c r="H9" s="89">
        <f>+Cs!G78+Fin!G78+Rat!G78+MM!G78+Lib!G78+Pry!G78+Hal!G78+Cem!G78+Par!G78+EDv!H48+Str!G78+Ele!G78+Wat!G78+San!G78+Ref!G78</f>
        <v>-24300</v>
      </c>
      <c r="I9" s="66" t="s">
        <v>2707</v>
      </c>
    </row>
    <row r="10" spans="1:9" x14ac:dyDescent="0.35">
      <c r="A10" s="66" t="s">
        <v>11</v>
      </c>
      <c r="B10" s="66" t="s">
        <v>30</v>
      </c>
      <c r="C10" s="89">
        <f>+Cs!B25+Fin!B25+Rat!B25+MM!B25+Lib!B25+Pry!B25+Hal!B25+Cem!B25+Par!B25+EDv!C18+Str!B25+Ele!B25+Wat!B25+San!B25+Ref!B25</f>
        <v>-22416000</v>
      </c>
      <c r="D10" s="89">
        <f>+Cs!C25+Fin!C25+Rat!C25+MM!C25+Lib!C25+Pry!C25+Hal!C25+Cem!C25+Par!C25+EDv!D18+Str!C25+Ele!C25+Wat!C25+San!C25+Ref!C25</f>
        <v>-22416000</v>
      </c>
      <c r="E10" s="89">
        <f>+Cs!D25+Fin!D25+Rat!D25+MM!D25+Lib!D25+Pry!D25+Hal!D25+Cem!D25+Par!D25+EDv!E18+Str!D25+Ele!D25+Wat!D25+San!D25+Ref!D25</f>
        <v>-22416000</v>
      </c>
      <c r="F10" s="89">
        <f>+Cs!E25+Fin!E25+Rat!E25+MM!E25+Lib!E25+Pry!E25+Hal!E25+Cem!E25+Par!E25+EDv!F18+Str!E25+Ele!E25+Wat!E25+San!E25+Ref!E25</f>
        <v>-24142000</v>
      </c>
      <c r="G10" s="89">
        <f>+Cs!F25+Fin!F25+Rat!F25+MM!F25+Lib!F25+Pry!F25+Hal!F25+Cem!F25+Par!F25+EDv!G18+Str!F25+Ele!F25+Wat!F25+San!F25+Ref!F25</f>
        <v>-26119000</v>
      </c>
      <c r="H10" s="89">
        <f>+Cs!G25+Fin!G25+Rat!G25+MM!G25+Lib!G25+Pry!G25+Hal!G25+Cem!G25+Par!G25+EDv!H18+Str!G25+Ele!G25+Wat!G25+San!G25+Ref!G25</f>
        <v>-28011000</v>
      </c>
      <c r="I10" s="66" t="s">
        <v>2707</v>
      </c>
    </row>
    <row r="11" spans="1:9" x14ac:dyDescent="0.35">
      <c r="A11" s="66" t="s">
        <v>13</v>
      </c>
      <c r="B11" s="66" t="s">
        <v>424</v>
      </c>
      <c r="C11" s="89">
        <f>+Cs!B90+Fin!B90+Rat!B90+MM!B90+Lib!B90+Pry!B90+Hal!B90+Cem!B90+Par!B90+EDv!C67+Str!B90+Ele!B90+Wat!B90+San!B90+Ref!B90</f>
        <v>-258600</v>
      </c>
      <c r="D11" s="89">
        <f>+Cs!C90+Fin!C90+Rat!C90+MM!C90+Lib!C90+Pry!C90+Hal!C90+Cem!C90+Par!C90+EDv!D67+Str!C90+Ele!C90+Wat!C90+San!C90+Ref!C90</f>
        <v>-18600</v>
      </c>
      <c r="E11" s="89">
        <f>+Cs!D90+Fin!D90+Rat!D90+MM!D90+Lib!D90+Pry!D90+Hal!D90+Cem!D90+Par!D90+EDv!E67+Str!D90+Ele!D90+Wat!D90+San!D90+Ref!D90</f>
        <v>-254900</v>
      </c>
      <c r="F11" s="89">
        <f>+Cs!E90+Fin!E90+Rat!E90+MM!E90+Lib!E90+Pry!E90+Hal!E90+Cem!E90+Par!E90+EDv!F67+Str!E90+Ele!E90+Wat!E90+San!E90+Ref!E90</f>
        <v>-300000</v>
      </c>
      <c r="G11" s="89">
        <f>+Cs!F90+Fin!F90+Rat!F90+MM!F90+Lib!F90+Pry!F90+Hal!F90+Cem!F90+Par!F90+EDv!G67+Str!F90+Ele!F90+Wat!F90+San!F90+Ref!F90</f>
        <v>-309000</v>
      </c>
      <c r="H11" s="89">
        <f>+Cs!G90+Fin!G90+Rat!G90+MM!G90+Lib!G90+Pry!G90+Hal!G90+Cem!G90+Par!G90+EDv!H67+Str!G90+Ele!G90+Wat!G90+San!G90+Ref!G90</f>
        <v>-318300</v>
      </c>
      <c r="I11" s="66" t="s">
        <v>2716</v>
      </c>
    </row>
    <row r="12" spans="1:9" x14ac:dyDescent="0.35">
      <c r="A12" s="66" t="s">
        <v>819</v>
      </c>
      <c r="B12" s="66" t="s">
        <v>2733</v>
      </c>
      <c r="C12" s="89">
        <f>+Cs!B7+Fin!B7+Rat!B7+MM!B7+Lib!B7+Pry!B7+Hal!B7+Cem!B7+Par!B7+EDv!C5+Str!B7+Ele!B7+Wat!B7+San!B7+Ref!B7</f>
        <v>-4500</v>
      </c>
      <c r="D12" s="89">
        <f>+Cs!C7+Fin!C7+Rat!C7+MM!C7+Lib!C7+Pry!C7+Hal!C7+Cem!C7+Par!C7+EDv!D5+Str!C7+Ele!C7+Wat!C7+San!C7+Ref!C7</f>
        <v>-4500</v>
      </c>
      <c r="E12" s="89">
        <f>+Cs!D7+Fin!D7+Rat!D7+MM!D7+Lib!D7+Pry!D7+Hal!D7+Cem!D7+Par!D7+EDv!E5+Str!D7+Ele!D7+Wat!D7+San!D7+Ref!D7</f>
        <v>-12783.19</v>
      </c>
      <c r="F12" s="89">
        <f>+Cs!E7+Fin!E7+Rat!E7+MM!E7+Lib!E7+Pry!E7+Hal!E7+Cem!E7+Par!E7+EDv!F5+Str!E7+Ele!E7+Wat!E7+San!E7+Ref!E7</f>
        <v>-15000</v>
      </c>
      <c r="G12" s="89">
        <f>+Cs!F7+Fin!F7+Rat!F7+MM!F7+Lib!F7+Pry!F7+Hal!F7+Cem!F7+Par!F7+EDv!G5+Str!F7+Ele!F7+Wat!F7+San!F7+Ref!F7</f>
        <v>-15700</v>
      </c>
      <c r="H12" s="89">
        <f>+Cs!G7+Fin!G7+Rat!G7+MM!G7+Lib!G7+Pry!G7+Hal!G7+Cem!G7+Par!G7+EDv!H5+Str!G7+Ele!G7+Wat!G7+San!G7+Ref!G7</f>
        <v>-16500</v>
      </c>
      <c r="I12" s="66" t="s">
        <v>2707</v>
      </c>
    </row>
    <row r="13" spans="1:9" x14ac:dyDescent="0.35">
      <c r="A13" s="66" t="s">
        <v>17</v>
      </c>
      <c r="B13" s="66" t="s">
        <v>12</v>
      </c>
      <c r="C13" s="89" t="e">
        <f>+Cs!#REF!+Fin!#REF!+Rat!#REF!+MM!#REF!+Lib!#REF!+Pry!#REF!+Hal!#REF!+Cem!#REF!+Par!#REF!+EDv!C10+Str!#REF!+Ele!#REF!+Wat!#REF!+San!#REF!+Ref!#REF!</f>
        <v>#REF!</v>
      </c>
      <c r="D13" s="89" t="e">
        <f>+Cs!#REF!+Fin!#REF!+Rat!#REF!+MM!#REF!+Lib!#REF!+Pry!#REF!+Hal!#REF!+Cem!#REF!+Par!#REF!+EDv!D10+Str!#REF!+Ele!#REF!+Wat!#REF!+San!#REF!+Ref!#REF!</f>
        <v>#REF!</v>
      </c>
      <c r="E13" s="89" t="e">
        <f>+Cs!#REF!+Fin!#REF!+Rat!#REF!+MM!#REF!+Lib!#REF!+Pry!#REF!+Hal!#REF!+Cem!#REF!+Par!#REF!+EDv!E10+Str!#REF!+Ele!#REF!+Wat!#REF!+San!#REF!+Ref!#REF!</f>
        <v>#REF!</v>
      </c>
      <c r="F13" s="89" t="e">
        <f>+Cs!#REF!+Fin!#REF!+Rat!#REF!+MM!#REF!+Lib!#REF!+Pry!#REF!+Hal!#REF!+Cem!#REF!+Par!#REF!+EDv!F10+Str!#REF!+Ele!#REF!+Wat!#REF!+San!#REF!+Ref!#REF!</f>
        <v>#REF!</v>
      </c>
      <c r="G13" s="89" t="e">
        <f>+Cs!#REF!+Fin!#REF!+Rat!#REF!+MM!#REF!+Lib!#REF!+Pry!#REF!+Hal!#REF!+Cem!#REF!+Par!#REF!+EDv!G10+Str!#REF!+Ele!#REF!+Wat!#REF!+San!#REF!+Ref!#REF!</f>
        <v>#REF!</v>
      </c>
      <c r="H13" s="89" t="e">
        <f>+Cs!#REF!+Fin!#REF!+Rat!#REF!+MM!#REF!+Lib!#REF!+Pry!#REF!+Hal!#REF!+Cem!#REF!+Par!#REF!+EDv!H10+Str!#REF!+Ele!#REF!+Wat!#REF!+San!#REF!+Ref!#REF!</f>
        <v>#REF!</v>
      </c>
      <c r="I13" s="66" t="s">
        <v>2707</v>
      </c>
    </row>
    <row r="14" spans="1:9" x14ac:dyDescent="0.35">
      <c r="A14" s="66" t="s">
        <v>486</v>
      </c>
      <c r="B14" s="66" t="s">
        <v>126</v>
      </c>
      <c r="C14" s="89">
        <f>+Cs!B27+Fin!B27+Rat!B27+MM!B27+Lib!B27+Pry!B27+Hal!B27+Cem!B27+Par!B27+EDv!C20+Str!B27+Ele!B27+Wat!B27+San!B27+Ref!B27</f>
        <v>-2435000</v>
      </c>
      <c r="D14" s="89">
        <f>+Cs!C27+Fin!C27+Rat!C27+MM!C27+Lib!C27+Pry!C27+Hal!C27+Cem!C27+Par!C27+EDv!D20+Str!C27+Ele!C27+Wat!C27+San!C27+Ref!C27</f>
        <v>-2435000</v>
      </c>
      <c r="E14" s="89">
        <f>+Cs!D27+Fin!D27+Rat!D27+MM!D27+Lib!D27+Pry!D27+Hal!D27+Cem!D27+Par!D27+EDv!E20+Str!D27+Ele!D27+Wat!D27+San!D27+Ref!D27</f>
        <v>-2435000</v>
      </c>
      <c r="F14" s="89">
        <f>+Cs!E27+Fin!E27+Rat!E27+MM!E27+Lib!E27+Pry!E27+Hal!E27+Cem!E27+Par!E27+EDv!F20+Str!E27+Ele!E27+Wat!E27+San!E27+Ref!E27</f>
        <v>-2800000</v>
      </c>
      <c r="G14" s="89">
        <f>+Cs!F27+Fin!F27+Rat!F27+MM!F27+Lib!F27+Pry!F27+Hal!F27+Cem!F27+Par!F27+EDv!G20+Str!F27+Ele!F27+Wat!F27+San!F27+Ref!F27</f>
        <v>-2800000</v>
      </c>
      <c r="H14" s="89">
        <f>+Cs!G27+Fin!G27+Rat!G27+MM!G27+Lib!G27+Pry!G27+Hal!G27+Cem!G27+Par!G27+EDv!H20+Str!G27+Ele!G27+Wat!G27+San!G27+Ref!G27</f>
        <v>-2800000</v>
      </c>
      <c r="I14" s="66" t="s">
        <v>2707</v>
      </c>
    </row>
    <row r="15" spans="1:9" x14ac:dyDescent="0.35">
      <c r="A15" s="66" t="s">
        <v>23</v>
      </c>
      <c r="B15" s="66" t="s">
        <v>165</v>
      </c>
      <c r="C15" s="89">
        <f>+Cs!B64+Fin!B64+Rat!B64+MM!B64+Lib!B64+Pry!B64+Hal!B64+Cem!B64+Par!B64+EDv!C39+Str!B64+Ele!B64+Wat!B64+San!B64+Ref!B64</f>
        <v>0</v>
      </c>
      <c r="D15" s="89">
        <f>+Cs!C64+Fin!C64+Rat!C64+MM!C64+Lib!C64+Pry!C64+Hal!C64+Cem!C64+Par!C64+EDv!D39+Str!C64+Ele!C64+Wat!C64+San!C64+Ref!C64</f>
        <v>0</v>
      </c>
      <c r="E15" s="89">
        <f>+Cs!D64+Fin!D64+Rat!D64+MM!D64+Lib!D64+Pry!D64+Hal!D64+Cem!D64+Par!D64+EDv!E39+Str!D64+Ele!D64+Wat!D64+San!D64+Ref!D64</f>
        <v>0</v>
      </c>
      <c r="F15" s="89">
        <f>+Cs!E64+Fin!E64+Rat!E64+MM!E64+Lib!E64+Pry!E64+Hal!E64+Cem!E64+Par!E64+EDv!F39+Str!E64+Ele!E64+Wat!E64+San!E64+Ref!E64</f>
        <v>-300000</v>
      </c>
      <c r="G15" s="89">
        <f>+Cs!F64+Fin!F64+Rat!F64+MM!F64+Lib!F64+Pry!F64+Hal!F64+Cem!F64+Par!F64+EDv!G39+Str!F64+Ele!F64+Wat!F64+San!F64+Ref!F64</f>
        <v>-500000</v>
      </c>
      <c r="H15" s="89">
        <f>+Cs!G64+Fin!G64+Rat!G64+MM!G64+Lib!G64+Pry!G64+Hal!G64+Cem!G64+Par!G64+EDv!H39+Str!G64+Ele!G64+Wat!G64+San!G64+Ref!G64</f>
        <v>0</v>
      </c>
      <c r="I15" s="66" t="s">
        <v>2708</v>
      </c>
    </row>
    <row r="16" spans="1:9" x14ac:dyDescent="0.35">
      <c r="A16" s="66" t="s">
        <v>25</v>
      </c>
      <c r="B16" s="66" t="s">
        <v>6</v>
      </c>
      <c r="C16" s="89">
        <f>+Cs!B9+Fin!B9+Rat!B9+MM!B9+Lib!B9+Pry!B9+Hal!B9+Cem!B9+Par!B9+EDv!C7+Str!B9+Ele!B9+Wat!B9+San!B9+Ref!B9</f>
        <v>-1500</v>
      </c>
      <c r="D16" s="89">
        <f>+Cs!C9+Fin!C9+Rat!C9+MM!C9+Lib!C9+Pry!C9+Hal!C9+Cem!C9+Par!C9+EDv!D7+Str!C9+Ele!C9+Wat!C9+San!C9+Ref!C9</f>
        <v>-1500</v>
      </c>
      <c r="E16" s="89">
        <f>+Cs!D9+Fin!D9+Rat!D9+MM!D9+Lib!D9+Pry!D9+Hal!D9+Cem!D9+Par!D9+EDv!E7+Str!D9+Ele!D9+Wat!D9+San!D9+Ref!D9</f>
        <v>-250</v>
      </c>
      <c r="F16" s="89">
        <f>+Cs!E9+Fin!E9+Rat!E9+MM!E9+Lib!E9+Pry!E9+Hal!E9+Cem!E9+Par!E9+EDv!F7+Str!E9+Ele!E9+Wat!E9+San!E9+Ref!E9</f>
        <v>-500</v>
      </c>
      <c r="G16" s="89">
        <f>+Cs!F9+Fin!F9+Rat!F9+MM!F9+Lib!F9+Pry!F9+Hal!F9+Cem!F9+Par!F9+EDv!G7+Str!F9+Ele!F9+Wat!F9+San!F9+Ref!F9</f>
        <v>-500</v>
      </c>
      <c r="H16" s="89">
        <f>+Cs!G9+Fin!G9+Rat!G9+MM!G9+Lib!G9+Pry!G9+Hal!G9+Cem!G9+Par!G9+EDv!H7+Str!G9+Ele!G9+Wat!G9+San!G9+Ref!G9</f>
        <v>-500</v>
      </c>
      <c r="I16" s="66" t="s">
        <v>2706</v>
      </c>
    </row>
    <row r="17" spans="1:9" x14ac:dyDescent="0.35">
      <c r="A17" s="66" t="s">
        <v>27</v>
      </c>
      <c r="B17" s="66" t="s">
        <v>706</v>
      </c>
      <c r="C17" s="89">
        <f>+Cs!B103+Fin!B103+Rat!B103+MM!B103+Lib!B103+Pry!B103+Hal!B103+Cem!B103+Par!B103+EDv!C78+Str!B103+Ele!B103+Wat!B103+San!B103+Ref!B103</f>
        <v>-39000</v>
      </c>
      <c r="D17" s="89">
        <f>+Cs!C103+Fin!C103+Rat!C103+MM!C103+Lib!C103+Pry!C103+Hal!C103+Cem!C103+Par!C103+EDv!D78+Str!C103+Ele!C103+Wat!C103+San!C103+Ref!C103</f>
        <v>-39000</v>
      </c>
      <c r="E17" s="89">
        <f>+Cs!D103+Fin!D103+Rat!D103+MM!D103+Lib!D103+Pry!D103+Hal!D103+Cem!D103+Par!D103+EDv!E78+Str!D103+Ele!D103+Wat!D103+San!D103+Ref!D103</f>
        <v>-37200</v>
      </c>
      <c r="F17" s="89">
        <f>+Cs!E103+Fin!E103+Rat!E103+MM!E103+Lib!E103+Pry!E103+Hal!E103+Cem!E103+Par!E103+EDv!F78+Str!E103+Ele!E103+Wat!E103+San!E103+Ref!E103</f>
        <v>-40000</v>
      </c>
      <c r="G17" s="89">
        <f>+Cs!F103+Fin!F103+Rat!F103+MM!F103+Lib!F103+Pry!F103+Hal!F103+Cem!F103+Par!F103+EDv!G78+Str!F103+Ele!F103+Wat!F103+San!F103+Ref!F103</f>
        <v>-41900</v>
      </c>
      <c r="H17" s="89">
        <f>+Cs!G103+Fin!G103+Rat!G103+MM!G103+Lib!G103+Pry!G103+Hal!G103+Cem!G103+Par!G103+EDv!H78+Str!G103+Ele!G103+Wat!G103+San!G103+Ref!G103</f>
        <v>-43800</v>
      </c>
      <c r="I17" s="66" t="s">
        <v>2717</v>
      </c>
    </row>
    <row r="18" spans="1:9" x14ac:dyDescent="0.35">
      <c r="A18" s="66" t="s">
        <v>186</v>
      </c>
      <c r="B18" s="66" t="s">
        <v>2664</v>
      </c>
      <c r="C18" s="89" t="e">
        <f>+Cs!#REF!+Fin!#REF!+Rat!#REF!+MM!#REF!+Lib!#REF!+Pry!#REF!+Hal!#REF!+Cem!#REF!+Par!#REF!+EDv!C81+Str!#REF!+Ele!#REF!+Wat!#REF!+San!#REF!+Ref!#REF!</f>
        <v>#REF!</v>
      </c>
      <c r="D18" s="89" t="e">
        <f>+Cs!#REF!+Fin!#REF!+Rat!#REF!+MM!#REF!+Lib!#REF!+Pry!#REF!+Hal!#REF!+Cem!#REF!+Par!#REF!+EDv!D81+Str!#REF!+Ele!#REF!+Wat!#REF!+San!#REF!+Ref!#REF!</f>
        <v>#REF!</v>
      </c>
      <c r="E18" s="89" t="e">
        <f>+Cs!#REF!+Fin!#REF!+Rat!#REF!+MM!#REF!+Lib!#REF!+Pry!#REF!+Hal!#REF!+Cem!#REF!+Par!#REF!+EDv!E81+Str!#REF!+Ele!#REF!+Wat!#REF!+San!#REF!+Ref!#REF!</f>
        <v>#REF!</v>
      </c>
      <c r="F18" s="89" t="e">
        <f>+Cs!#REF!+Fin!#REF!+Rat!#REF!+MM!#REF!+Lib!#REF!+Pry!#REF!+Hal!#REF!+Cem!#REF!+Par!#REF!+EDv!F81+Str!#REF!+Ele!#REF!+Wat!#REF!+San!#REF!+Ref!#REF!</f>
        <v>#REF!</v>
      </c>
      <c r="G18" s="89" t="e">
        <f>+Cs!#REF!+Fin!#REF!+Rat!#REF!+MM!#REF!+Lib!#REF!+Pry!#REF!+Hal!#REF!+Cem!#REF!+Par!#REF!+EDv!G81+Str!#REF!+Ele!#REF!+Wat!#REF!+San!#REF!+Ref!#REF!</f>
        <v>#REF!</v>
      </c>
      <c r="H18" s="89" t="e">
        <f>+Cs!#REF!+Fin!#REF!+Rat!#REF!+MM!#REF!+Lib!#REF!+Pry!#REF!+Hal!#REF!+Cem!#REF!+Par!#REF!+EDv!H81+Str!#REF!+Ele!#REF!+Wat!#REF!+San!#REF!+Ref!#REF!</f>
        <v>#REF!</v>
      </c>
      <c r="I18" s="66" t="s">
        <v>2707</v>
      </c>
    </row>
    <row r="19" spans="1:9" x14ac:dyDescent="0.35">
      <c r="A19" s="66" t="s">
        <v>716</v>
      </c>
      <c r="B19" s="66" t="s">
        <v>708</v>
      </c>
      <c r="C19" s="89" t="e">
        <f>+Cs!#REF!+Fin!#REF!+Rat!#REF!+MM!#REF!+Lib!#REF!+Pry!#REF!+Hal!#REF!+Cem!#REF!+Par!#REF!+EDv!C79+Str!#REF!+Ele!#REF!+Wat!#REF!+San!#REF!+Ref!#REF!</f>
        <v>#REF!</v>
      </c>
      <c r="D19" s="89" t="e">
        <f>+Cs!#REF!+Fin!#REF!+Rat!#REF!+MM!#REF!+Lib!#REF!+Pry!#REF!+Hal!#REF!+Cem!#REF!+Par!#REF!+EDv!D79+Str!#REF!+Ele!#REF!+Wat!#REF!+San!#REF!+Ref!#REF!</f>
        <v>#REF!</v>
      </c>
      <c r="E19" s="89" t="e">
        <f>+Cs!#REF!+Fin!#REF!+Rat!#REF!+MM!#REF!+Lib!#REF!+Pry!#REF!+Hal!#REF!+Cem!#REF!+Par!#REF!+EDv!E79+Str!#REF!+Ele!#REF!+Wat!#REF!+San!#REF!+Ref!#REF!</f>
        <v>#REF!</v>
      </c>
      <c r="F19" s="89" t="e">
        <f>+Cs!#REF!+Fin!#REF!+Rat!#REF!+MM!#REF!+Lib!#REF!+Pry!#REF!+Hal!#REF!+Cem!#REF!+Par!#REF!+EDv!F79+Str!#REF!+Ele!#REF!+Wat!#REF!+San!#REF!+Ref!#REF!</f>
        <v>#REF!</v>
      </c>
      <c r="G19" s="89" t="e">
        <f>+Cs!#REF!+Fin!#REF!+Rat!#REF!+MM!#REF!+Lib!#REF!+Pry!#REF!+Hal!#REF!+Cem!#REF!+Par!#REF!+EDv!G79+Str!#REF!+Ele!#REF!+Wat!#REF!+San!#REF!+Ref!#REF!</f>
        <v>#REF!</v>
      </c>
      <c r="H19" s="89" t="e">
        <f>+Cs!#REF!+Fin!#REF!+Rat!#REF!+MM!#REF!+Lib!#REF!+Pry!#REF!+Hal!#REF!+Cem!#REF!+Par!#REF!+EDv!H79+Str!#REF!+Ele!#REF!+Wat!#REF!+San!#REF!+Ref!#REF!</f>
        <v>#REF!</v>
      </c>
      <c r="I19" s="66" t="s">
        <v>2707</v>
      </c>
    </row>
    <row r="20" spans="1:9" x14ac:dyDescent="0.35">
      <c r="A20" s="66" t="s">
        <v>580</v>
      </c>
      <c r="B20" s="66" t="s">
        <v>2669</v>
      </c>
      <c r="C20" s="89">
        <f>+Cs!B104+Fin!B104+Rat!B104+MM!B104+Lib!B104+Pry!B104+Hal!B104+Cem!B104+Par!B104+EDv!C80+Str!B104+Ele!B104+Wat!B104+San!B104+Ref!B104</f>
        <v>-1200</v>
      </c>
      <c r="D20" s="89">
        <f>+Cs!C104+Fin!C104+Rat!C104+MM!C104+Lib!C104+Pry!C104+Hal!C104+Cem!C104+Par!C104+EDv!D80+Str!C104+Ele!C104+Wat!C104+San!C104+Ref!C104</f>
        <v>-1200</v>
      </c>
      <c r="E20" s="89">
        <f>+Cs!D104+Fin!D104+Rat!D104+MM!D104+Lib!D104+Pry!D104+Hal!D104+Cem!D104+Par!D104+EDv!E80+Str!D104+Ele!D104+Wat!D104+San!D104+Ref!D104</f>
        <v>-1200</v>
      </c>
      <c r="F20" s="89">
        <f>+Cs!E104+Fin!E104+Rat!E104+MM!E104+Lib!E104+Pry!E104+Hal!E104+Cem!E104+Par!E104+EDv!F80+Str!E104+Ele!E104+Wat!E104+San!E104+Ref!E104</f>
        <v>-1200</v>
      </c>
      <c r="G20" s="89">
        <f>+Cs!F104+Fin!F104+Rat!F104+MM!F104+Lib!F104+Pry!F104+Hal!F104+Cem!F104+Par!F104+EDv!G80+Str!F104+Ele!F104+Wat!F104+San!F104+Ref!F104</f>
        <v>-1200</v>
      </c>
      <c r="H20" s="89">
        <f>+Cs!G104+Fin!G104+Rat!G104+MM!G104+Lib!G104+Pry!G104+Hal!G104+Cem!G104+Par!G104+EDv!H80+Str!G104+Ele!G104+Wat!G104+San!G104+Ref!G104</f>
        <v>-1200</v>
      </c>
      <c r="I20" s="66" t="s">
        <v>2707</v>
      </c>
    </row>
    <row r="21" spans="1:9" x14ac:dyDescent="0.35">
      <c r="A21" s="66" t="s">
        <v>127</v>
      </c>
      <c r="B21" s="66" t="s">
        <v>2665</v>
      </c>
      <c r="C21" s="89" t="e">
        <f>+Cs!#REF!+Fin!#REF!+Rat!#REF!+MM!#REF!+Lib!#REF!+Pry!#REF!+Hal!#REF!+Cem!#REF!+Par!#REF!+EDv!C82+Str!#REF!+Ele!#REF!+Wat!#REF!+San!#REF!+Ref!#REF!</f>
        <v>#REF!</v>
      </c>
      <c r="D21" s="89" t="e">
        <f>+Cs!#REF!+Fin!#REF!+Rat!#REF!+MM!#REF!+Lib!#REF!+Pry!#REF!+Hal!#REF!+Cem!#REF!+Par!#REF!+EDv!D82+Str!#REF!+Ele!#REF!+Wat!#REF!+San!#REF!+Ref!#REF!</f>
        <v>#REF!</v>
      </c>
      <c r="E21" s="89" t="e">
        <f>+Cs!#REF!+Fin!#REF!+Rat!#REF!+MM!#REF!+Lib!#REF!+Pry!#REF!+Hal!#REF!+Cem!#REF!+Par!#REF!+EDv!E82+Str!#REF!+Ele!#REF!+Wat!#REF!+San!#REF!+Ref!#REF!</f>
        <v>#REF!</v>
      </c>
      <c r="F21" s="89" t="e">
        <f>+Cs!#REF!+Fin!#REF!+Rat!#REF!+MM!#REF!+Lib!#REF!+Pry!#REF!+Hal!#REF!+Cem!#REF!+Par!#REF!+EDv!F82+Str!#REF!+Ele!#REF!+Wat!#REF!+San!#REF!+Ref!#REF!</f>
        <v>#REF!</v>
      </c>
      <c r="G21" s="89" t="e">
        <f>+Cs!#REF!+Fin!#REF!+Rat!#REF!+MM!#REF!+Lib!#REF!+Pry!#REF!+Hal!#REF!+Cem!#REF!+Par!#REF!+EDv!G82+Str!#REF!+Ele!#REF!+Wat!#REF!+San!#REF!+Ref!#REF!</f>
        <v>#REF!</v>
      </c>
      <c r="H21" s="89" t="e">
        <f>+Cs!#REF!+Fin!#REF!+Rat!#REF!+MM!#REF!+Lib!#REF!+Pry!#REF!+Hal!#REF!+Cem!#REF!+Par!#REF!+EDv!H82+Str!#REF!+Ele!#REF!+Wat!#REF!+San!#REF!+Ref!#REF!</f>
        <v>#REF!</v>
      </c>
      <c r="I21" s="66" t="s">
        <v>2707</v>
      </c>
    </row>
    <row r="22" spans="1:9" x14ac:dyDescent="0.35">
      <c r="A22" s="66" t="s">
        <v>129</v>
      </c>
      <c r="B22" s="66" t="s">
        <v>702</v>
      </c>
      <c r="C22" s="89">
        <f>+Cs!B101+Fin!B101+Rat!B101+MM!B101+Lib!B101+Pry!B101+Hal!B101+Cem!B101+Par!B101+EDv!C76+Str!B101+Ele!B101+Wat!B101+San!B101+Ref!B101</f>
        <v>-81400</v>
      </c>
      <c r="D22" s="89">
        <f>+Cs!C101+Fin!C101+Rat!C101+MM!C101+Lib!C101+Pry!C101+Hal!C101+Cem!C101+Par!C101+EDv!D76+Str!C101+Ele!C101+Wat!C101+San!C101+Ref!C101</f>
        <v>-81400</v>
      </c>
      <c r="E22" s="89">
        <f>+Cs!D101+Fin!D101+Rat!D101+MM!D101+Lib!D101+Pry!D101+Hal!D101+Cem!D101+Par!D101+EDv!E76+Str!D101+Ele!D101+Wat!D101+San!D101+Ref!D101</f>
        <v>-81000</v>
      </c>
      <c r="F22" s="89">
        <f>+Cs!E101+Fin!E101+Rat!E101+MM!E101+Lib!E101+Pry!E101+Hal!E101+Cem!E101+Par!E101+EDv!F76+Str!E101+Ele!E101+Wat!E101+San!E101+Ref!E101</f>
        <v>-84900</v>
      </c>
      <c r="G22" s="89">
        <f>+Cs!F101+Fin!F101+Rat!F101+MM!F101+Lib!F101+Pry!F101+Hal!F101+Cem!F101+Par!F101+EDv!G76+Str!F101+Ele!F101+Wat!F101+San!F101+Ref!F101</f>
        <v>-93400</v>
      </c>
      <c r="H22" s="89">
        <f>+Cs!G101+Fin!G101+Rat!G101+MM!G101+Lib!G101+Pry!G101+Hal!G101+Cem!G101+Par!G101+EDv!H76+Str!G101+Ele!G101+Wat!G101+San!G101+Ref!G101</f>
        <v>-102800</v>
      </c>
      <c r="I22" s="66" t="s">
        <v>2717</v>
      </c>
    </row>
    <row r="23" spans="1:9" x14ac:dyDescent="0.35">
      <c r="A23" s="66" t="s">
        <v>131</v>
      </c>
      <c r="B23" s="66" t="s">
        <v>704</v>
      </c>
      <c r="C23" s="89">
        <f>+Cs!B102+Fin!B102+Rat!B102+MM!B102+Lib!B102+Pry!B102+Hal!B102+Cem!B102+Par!B102+EDv!C77+Str!B102+Ele!B102+Wat!B102+San!B102+Ref!B102</f>
        <v>-34000</v>
      </c>
      <c r="D23" s="89">
        <f>+Cs!C102+Fin!C102+Rat!C102+MM!C102+Lib!C102+Pry!C102+Hal!C102+Cem!C102+Par!C102+EDv!D77+Str!C102+Ele!C102+Wat!C102+San!C102+Ref!C102</f>
        <v>-34000</v>
      </c>
      <c r="E23" s="89">
        <f>+Cs!D102+Fin!D102+Rat!D102+MM!D102+Lib!D102+Pry!D102+Hal!D102+Cem!D102+Par!D102+EDv!E77+Str!D102+Ele!D102+Wat!D102+San!D102+Ref!D102</f>
        <v>-30000</v>
      </c>
      <c r="F23" s="89">
        <f>+Cs!E102+Fin!E102+Rat!E102+MM!E102+Lib!E102+Pry!E102+Hal!E102+Cem!E102+Par!E102+EDv!F77+Str!E102+Ele!E102+Wat!E102+San!E102+Ref!E102</f>
        <v>-32100</v>
      </c>
      <c r="G23" s="89">
        <f>+Cs!F102+Fin!F102+Rat!F102+MM!F102+Lib!F102+Pry!F102+Hal!F102+Cem!F102+Par!F102+EDv!G77+Str!F102+Ele!F102+Wat!F102+San!F102+Ref!F102</f>
        <v>-34400</v>
      </c>
      <c r="H23" s="89">
        <f>+Cs!G102+Fin!G102+Rat!G102+MM!G102+Lib!G102+Pry!G102+Hal!G102+Cem!G102+Par!G102+EDv!H77+Str!G102+Ele!G102+Wat!G102+San!G102+Ref!G102</f>
        <v>-36900</v>
      </c>
      <c r="I23" s="66" t="s">
        <v>2717</v>
      </c>
    </row>
    <row r="24" spans="1:9" x14ac:dyDescent="0.35">
      <c r="A24" s="66" t="s">
        <v>133</v>
      </c>
      <c r="B24" s="66" t="s">
        <v>291</v>
      </c>
      <c r="C24" s="89">
        <f>+Cs!B82+Fin!B82+Rat!B82+MM!B82+Lib!B82+Pry!B82+Hal!B82+Cem!B82+Par!B82+EDv!C59+Str!B82+Ele!B82+Wat!B82+San!B82+Ref!B82</f>
        <v>41500</v>
      </c>
      <c r="D24" s="89">
        <f>+Cs!C82+Fin!C82+Rat!C82+MM!C82+Lib!C82+Pry!C82+Hal!C82+Cem!C82+Par!C82+EDv!D59+Str!C82+Ele!C82+Wat!C82+San!C82+Ref!C82</f>
        <v>41500</v>
      </c>
      <c r="E24" s="89">
        <f>+Cs!D82+Fin!D82+Rat!D82+MM!D82+Lib!D82+Pry!D82+Hal!D82+Cem!D82+Par!D82+EDv!E59+Str!D82+Ele!D82+Wat!D82+San!D82+Ref!D82</f>
        <v>73347.55</v>
      </c>
      <c r="F24" s="89">
        <f>+Cs!E82+Fin!E82+Rat!E82+MM!E82+Lib!E82+Pry!E82+Hal!E82+Cem!E82+Par!E82+EDv!F59+Str!E82+Ele!E82+Wat!E82+San!E82+Ref!E82</f>
        <v>76700</v>
      </c>
      <c r="G24" s="89">
        <f>+Cs!F82+Fin!F82+Rat!F82+MM!F82+Lib!F82+Pry!F82+Hal!F82+Cem!F82+Par!F82+EDv!G59+Str!F82+Ele!F82+Wat!F82+San!F82+Ref!F82</f>
        <v>80300</v>
      </c>
      <c r="H24" s="89">
        <f>+Cs!G82+Fin!G82+Rat!G82+MM!G82+Lib!G82+Pry!G82+Hal!G82+Cem!G82+Par!G82+EDv!H59+Str!G82+Ele!G82+Wat!G82+San!G82+Ref!G82</f>
        <v>84000</v>
      </c>
      <c r="I24" s="66" t="s">
        <v>2707</v>
      </c>
    </row>
    <row r="25" spans="1:9" x14ac:dyDescent="0.35">
      <c r="A25" s="66" t="s">
        <v>135</v>
      </c>
      <c r="B25" s="66" t="s">
        <v>16</v>
      </c>
      <c r="C25" s="89" t="e">
        <f>+Cs!#REF!+Fin!#REF!+Rat!#REF!+MM!#REF!+Lib!#REF!+Pry!#REF!+Hal!#REF!+Cem!#REF!+Par!#REF!+EDv!C12+Str!#REF!+Ele!#REF!+Wat!#REF!+San!#REF!+Ref!#REF!</f>
        <v>#REF!</v>
      </c>
      <c r="D25" s="89" t="e">
        <f>+Cs!#REF!+Fin!#REF!+Rat!#REF!+MM!#REF!+Lib!#REF!+Pry!#REF!+Hal!#REF!+Cem!#REF!+Par!#REF!+EDv!D12+Str!#REF!+Ele!#REF!+Wat!#REF!+San!#REF!+Ref!#REF!</f>
        <v>#REF!</v>
      </c>
      <c r="E25" s="89" t="e">
        <f>+Cs!#REF!+Fin!#REF!+Rat!#REF!+MM!#REF!+Lib!#REF!+Pry!#REF!+Hal!#REF!+Cem!#REF!+Par!#REF!+EDv!E12+Str!#REF!+Ele!#REF!+Wat!#REF!+San!#REF!+Ref!#REF!</f>
        <v>#REF!</v>
      </c>
      <c r="F25" s="89" t="e">
        <f>+Cs!#REF!+Fin!#REF!+Rat!#REF!+MM!#REF!+Lib!#REF!+Pry!#REF!+Hal!#REF!+Cem!#REF!+Par!#REF!+EDv!F12+Str!#REF!+Ele!#REF!+Wat!#REF!+San!#REF!+Ref!#REF!</f>
        <v>#REF!</v>
      </c>
      <c r="G25" s="89" t="e">
        <f>+Cs!#REF!+Fin!#REF!+Rat!#REF!+MM!#REF!+Lib!#REF!+Pry!#REF!+Hal!#REF!+Cem!#REF!+Par!#REF!+EDv!G12+Str!#REF!+Ele!#REF!+Wat!#REF!+San!#REF!+Ref!#REF!</f>
        <v>#REF!</v>
      </c>
      <c r="H25" s="89" t="e">
        <f>+Cs!#REF!+Fin!#REF!+Rat!#REF!+MM!#REF!+Lib!#REF!+Pry!#REF!+Hal!#REF!+Cem!#REF!+Par!#REF!+EDv!H12+Str!#REF!+Ele!#REF!+Wat!#REF!+San!#REF!+Ref!#REF!</f>
        <v>#REF!</v>
      </c>
      <c r="I25" s="66" t="s">
        <v>2708</v>
      </c>
    </row>
    <row r="26" spans="1:9" x14ac:dyDescent="0.35">
      <c r="A26" s="66" t="s">
        <v>137</v>
      </c>
      <c r="B26" s="66" t="s">
        <v>14</v>
      </c>
      <c r="C26" s="89">
        <f>+Cs!B13+Fin!B13+Rat!B13+MM!B13+Lib!B13+Pry!B13+Hal!B13+Cem!B13+Par!B13+EDv!C11+Str!B13+Ele!B13+Wat!B13+San!B13+Ref!B13</f>
        <v>-2000</v>
      </c>
      <c r="D26" s="89">
        <f>+Cs!C13+Fin!C13+Rat!C13+MM!C13+Lib!C13+Pry!C13+Hal!C13+Cem!C13+Par!C13+EDv!D11+Str!C13+Ele!C13+Wat!C13+San!C13+Ref!C13</f>
        <v>-2000</v>
      </c>
      <c r="E26" s="89">
        <f>+Cs!D13+Fin!D13+Rat!D13+MM!D13+Lib!D13+Pry!D13+Hal!D13+Cem!D13+Par!D13+EDv!E11+Str!D13+Ele!D13+Wat!D13+San!D13+Ref!D13</f>
        <v>-1500</v>
      </c>
      <c r="F26" s="89">
        <f>+Cs!E13+Fin!E13+Rat!E13+MM!E13+Lib!E13+Pry!E13+Hal!E13+Cem!E13+Par!E13+EDv!F11+Str!E13+Ele!E13+Wat!E13+San!E13+Ref!E13</f>
        <v>-2000</v>
      </c>
      <c r="G26" s="89">
        <f>+Cs!F13+Fin!F13+Rat!F13+MM!F13+Lib!F13+Pry!F13+Hal!F13+Cem!F13+Par!F13+EDv!G11+Str!F13+Ele!F13+Wat!F13+San!F13+Ref!F13</f>
        <v>-2200</v>
      </c>
      <c r="H26" s="89">
        <f>+Cs!G13+Fin!G13+Rat!G13+MM!G13+Lib!G13+Pry!G13+Hal!G13+Cem!G13+Par!G13+EDv!H11+Str!G13+Ele!G13+Wat!G13+San!G13+Ref!G13</f>
        <v>-2400</v>
      </c>
      <c r="I26" s="66" t="s">
        <v>2707</v>
      </c>
    </row>
    <row r="27" spans="1:9" x14ac:dyDescent="0.35">
      <c r="A27" s="66" t="s">
        <v>140</v>
      </c>
      <c r="B27" s="66" t="s">
        <v>167</v>
      </c>
      <c r="C27" s="89">
        <f>+Cs!B65+Fin!B65+Rat!B65+MM!B65+Lib!B65+Pry!B65+Hal!B65+Cem!B65+Par!B65+EDv!C40+Str!B65+Ele!B65+Wat!B65+San!B65+Ref!B65</f>
        <v>-8087000</v>
      </c>
      <c r="D27" s="89">
        <f>+Cs!C65+Fin!C65+Rat!C65+MM!C65+Lib!C65+Pry!C65+Hal!C65+Cem!C65+Par!C65+EDv!D40+Str!C65+Ele!C65+Wat!C65+San!C65+Ref!C65</f>
        <v>-8087000</v>
      </c>
      <c r="E27" s="89">
        <f>+Cs!D65+Fin!D65+Rat!D65+MM!D65+Lib!D65+Pry!D65+Hal!D65+Cem!D65+Par!D65+EDv!E40+Str!D65+Ele!D65+Wat!D65+San!D65+Ref!D65</f>
        <v>-8087000</v>
      </c>
      <c r="F27" s="89" t="e">
        <f>+Cs!E65+Fin!E65+Rat!E65+MM!E65+Lib!E65+Pry!E65+Hal!E65+Cem!E65+Wat!E65+EDv!F40+Str!E65+Ele!E65+Wat!#REF!+San!E65+Ref!E65</f>
        <v>#REF!</v>
      </c>
      <c r="G27" s="89" t="e">
        <f>+Cs!F65+Fin!F65+Rat!F65+MM!F65+Lib!F65+Pry!F65+Hal!F65+Cem!F65+Wat!F65+EDv!G40+Str!F65+Ele!F65+Wat!#REF!+San!F65+Ref!F65</f>
        <v>#REF!</v>
      </c>
      <c r="H27" s="89" t="e">
        <f>+Cs!G65+Fin!G65+Rat!G65+MM!G65+Lib!G65+Pry!G65+Hal!G65+Cem!G65+Wat!G65+EDv!H40+Str!G65+Ele!G65+Wat!#REF!+San!G65+Ref!G65</f>
        <v>#REF!</v>
      </c>
      <c r="I27" s="66" t="s">
        <v>2708</v>
      </c>
    </row>
    <row r="28" spans="1:9" x14ac:dyDescent="0.35">
      <c r="A28" s="66" t="s">
        <v>142</v>
      </c>
      <c r="B28" s="66" t="s">
        <v>130</v>
      </c>
      <c r="C28" s="89">
        <f>+Cs!B29+Fin!B29+Rat!B29+MM!B29+Lib!B29+Pry!B29+Hal!B29+Cem!B29+Par!B29+EDv!C22+Str!B29+Ele!B29+Wat!B29+San!B29+Ref!B29</f>
        <v>0</v>
      </c>
      <c r="D28" s="89">
        <f>+Cs!C29+Fin!C29+Rat!C29+MM!C29+Lib!C29+Pry!C29+Hal!C29+Cem!C29+Par!C29+EDv!D22+Str!C29+Ele!C29+Wat!C29+San!C29+Ref!C29</f>
        <v>0</v>
      </c>
      <c r="E28" s="89">
        <f>+Cs!D29+Fin!D29+Rat!D29+MM!D29+Lib!D29+Pry!D29+Hal!D29+Cem!D29+Par!D29+EDv!E22+Str!D29+Ele!D29+Wat!D29+San!D29+Ref!D29</f>
        <v>0</v>
      </c>
      <c r="F28" s="89">
        <f>+Cs!E29+Fin!E29+Rat!E29+MM!E29+Lib!E29+Pry!E29+Hal!E29+Cem!E29+Par!E29+EDv!F22+Str!E29+Ele!E29+Wat!E29+San!E29+Ref!E29</f>
        <v>0</v>
      </c>
      <c r="G28" s="89">
        <f>+Cs!F29+Fin!F29+Rat!F29+MM!F29+Lib!F29+Pry!F29+Hal!F29+Cem!F29+Par!F29+EDv!G22+Str!F29+Ele!F29+Wat!F29+San!F29+Ref!F29</f>
        <v>0</v>
      </c>
      <c r="H28" s="89">
        <f>+Cs!G29+Fin!G29+Rat!G29+MM!G29+Lib!G29+Pry!G29+Hal!G29+Cem!G29+Par!G29+EDv!H22+Str!G29+Ele!G29+Wat!G29+San!G29+Ref!G29</f>
        <v>0</v>
      </c>
      <c r="I28" s="66" t="s">
        <v>2707</v>
      </c>
    </row>
    <row r="29" spans="1:9" x14ac:dyDescent="0.35">
      <c r="A29" s="66" t="s">
        <v>144</v>
      </c>
      <c r="B29" s="66" t="s">
        <v>157</v>
      </c>
      <c r="C29" s="89" t="e">
        <f>+Cs!#REF!+Fin!#REF!+Rat!#REF!+MM!#REF!+Lib!#REF!+Pry!#REF!+Hal!#REF!+Cem!#REF!+Par!#REF!+EDv!C35+Str!#REF!+Ele!#REF!+Wat!#REF!+San!#REF!+Ref!#REF!</f>
        <v>#REF!</v>
      </c>
      <c r="D29" s="89" t="e">
        <f>+Cs!#REF!+Fin!#REF!+Rat!#REF!+MM!#REF!+Lib!#REF!+Pry!#REF!+Hal!#REF!+Cem!#REF!+Par!#REF!+EDv!D35+Str!#REF!+Ele!#REF!+Wat!#REF!+San!#REF!+Ref!#REF!</f>
        <v>#REF!</v>
      </c>
      <c r="E29" s="89" t="e">
        <f>+Cs!#REF!+Fin!#REF!+Rat!#REF!+MM!#REF!+Lib!#REF!+Pry!#REF!+Hal!#REF!+Cem!#REF!+Par!#REF!+EDv!E35+Str!#REF!+Ele!#REF!+Wat!#REF!+San!#REF!+Ref!#REF!</f>
        <v>#REF!</v>
      </c>
      <c r="F29" s="89" t="e">
        <f>+Cs!#REF!+Fin!#REF!+Rat!#REF!+MM!#REF!+Lib!#REF!+Pry!#REF!+Hal!#REF!+Cem!#REF!+Par!#REF!+EDv!F35+Str!#REF!+Ele!#REF!+Wat!#REF!+San!#REF!+Ref!#REF!</f>
        <v>#REF!</v>
      </c>
      <c r="G29" s="89" t="e">
        <f>+Cs!#REF!+Fin!#REF!+Rat!#REF!+MM!#REF!+Lib!#REF!+Pry!#REF!+Hal!#REF!+Cem!#REF!+Par!#REF!+EDv!G35+Str!#REF!+Ele!#REF!+Wat!#REF!+San!#REF!+Ref!#REF!</f>
        <v>#REF!</v>
      </c>
      <c r="H29" s="89" t="e">
        <f>+Cs!#REF!+Fin!#REF!+Rat!#REF!+MM!#REF!+Lib!#REF!+Pry!#REF!+Hal!#REF!+Cem!#REF!+Par!#REF!+EDv!H35+Str!#REF!+Ele!#REF!+Wat!#REF!+San!#REF!+Ref!#REF!</f>
        <v>#REF!</v>
      </c>
      <c r="I29" s="66" t="s">
        <v>2708</v>
      </c>
    </row>
    <row r="30" spans="1:9" x14ac:dyDescent="0.35">
      <c r="A30" s="66" t="s">
        <v>146</v>
      </c>
      <c r="B30" s="66" t="s">
        <v>177</v>
      </c>
      <c r="C30" s="89">
        <f>+Cs!B75+Fin!B75+Rat!B75+MM!B75+Lib!B75+Pry!B75+Hal!B75+Cem!B75+Par!B75+EDv!C45+Str!B75+Ele!B75+Wat!B75+San!B75+Ref!B75</f>
        <v>0</v>
      </c>
      <c r="D30" s="89">
        <f>+Cs!C75+Fin!C75+Rat!C75+MM!C75+Lib!C75+Pry!C75+Hal!C75+Cem!C75+Par!C75+EDv!D45+Str!C75+Ele!C75+Wat!C75+San!C75+Ref!C75</f>
        <v>0</v>
      </c>
      <c r="E30" s="89">
        <f>+Cs!D75+Fin!D75+Rat!D75+MM!D75+Lib!D75+Pry!D75+Hal!D75+Cem!D75+Par!D75+EDv!E45+Str!D75+Ele!D75+Wat!D75+San!D75+Ref!D75</f>
        <v>0</v>
      </c>
      <c r="F30" s="89">
        <f>+Cs!E75+Fin!E75+Rat!E75+MM!E75+Lib!E75+Pry!E75+Hal!E75+Cem!E75+Par!E75+EDv!F45+Str!E75+Ele!E75+Wat!E75+San!E75+Ref!E75</f>
        <v>0</v>
      </c>
      <c r="G30" s="89">
        <f>+Cs!F75+Fin!F75+Rat!F75+MM!F75+Lib!F75+Pry!F75+Hal!F75+Cem!F75+Par!F75+EDv!G45+Str!F75+Ele!F75+Wat!F75+San!F75+Ref!F75</f>
        <v>0</v>
      </c>
      <c r="H30" s="89">
        <f>+Cs!G75+Fin!G75+Rat!G75+MM!G75+Lib!G75+Pry!G75+Hal!G75+Cem!G75+Par!G75+EDv!H45+Str!G75+Ele!G75+Wat!G75+San!G75+Ref!G75</f>
        <v>0</v>
      </c>
      <c r="I30" s="66" t="s">
        <v>2707</v>
      </c>
    </row>
    <row r="31" spans="1:9" x14ac:dyDescent="0.35">
      <c r="A31" s="66" t="s">
        <v>148</v>
      </c>
      <c r="B31" s="66" t="s">
        <v>32</v>
      </c>
      <c r="C31" s="89">
        <f>+Cs!B26+Fin!B26+Rat!B26+MM!B26+Lib!B26+Pry!B26+Hal!B26+Cem!B26+Par!B26+EDv!C19+Str!B26+Ele!B26+Wat!B26+San!B26+Ref!B26</f>
        <v>0</v>
      </c>
      <c r="D31" s="89">
        <f>+Cs!C26+Fin!C26+Rat!C26+MM!C26+Lib!C26+Pry!C26+Hal!C26+Cem!C26+Par!C26+EDv!D19+Str!C26+Ele!C26+Wat!C26+San!C26+Ref!C26</f>
        <v>0</v>
      </c>
      <c r="E31" s="89">
        <f>+Cs!D26+Fin!D26+Rat!D26+MM!D26+Lib!D26+Pry!D26+Hal!D26+Cem!D26+Par!D26+EDv!E19+Str!D26+Ele!D26+Wat!D26+San!D26+Ref!D26</f>
        <v>0</v>
      </c>
      <c r="F31" s="89">
        <f>+Cs!E26+Fin!E26+Rat!E26+MM!E26+Lib!E26+Pry!E26+Hal!E26+Cem!E26+Par!E26+EDv!F19+Str!E26+Ele!E26+Wat!E26+San!E26+Ref!E26</f>
        <v>-1000000</v>
      </c>
      <c r="G31" s="89">
        <f>+Cs!F26+Fin!F26+Rat!F26+MM!F26+Lib!F26+Pry!F26+Hal!F26+Cem!F26+Par!F26+EDv!G19+Str!F26+Ele!F26+Wat!F26+San!F26+Ref!F26</f>
        <v>0</v>
      </c>
      <c r="H31" s="89">
        <f>+Cs!G26+Fin!G26+Rat!G26+MM!G26+Lib!G26+Pry!G26+Hal!G26+Cem!G26+Par!G26+EDv!H19+Str!G26+Ele!G26+Wat!G26+San!G26+Ref!G26</f>
        <v>0</v>
      </c>
      <c r="I31" s="66" t="s">
        <v>2710</v>
      </c>
    </row>
    <row r="32" spans="1:9" x14ac:dyDescent="0.35">
      <c r="A32" s="66" t="s">
        <v>150</v>
      </c>
      <c r="B32" s="66" t="s">
        <v>817</v>
      </c>
      <c r="C32" s="89">
        <f>+Cs!B119+Fin!B119+Rat!B119+MM!B119+Lib!B119+Pry!B119+Hal!B119+Cem!B119+Par!B119+EDv!C96+Str!B119+Ele!B119+Wat!B119+San!B119+Ref!B119</f>
        <v>-2300</v>
      </c>
      <c r="D32" s="89">
        <f>+Cs!C119+Fin!C119+Rat!C119+MM!C119+Lib!C119+Pry!C119+Hal!C119+Cem!C119+Par!C119+EDv!D96+Str!C119+Ele!C119+Wat!C119+San!C119+Ref!C119</f>
        <v>-2300</v>
      </c>
      <c r="E32" s="89">
        <f>+Cs!D119+Fin!D119+Rat!D119+MM!D119+Lib!D119+Pry!D119+Hal!D119+Cem!D119+Par!D119+EDv!E96+Str!D119+Ele!D119+Wat!D119+San!D119+Ref!D119</f>
        <v>-1600</v>
      </c>
      <c r="F32" s="89">
        <f>+Cs!E119+Fin!E119+Rat!E119+MM!E119+Lib!E119+Pry!E119+Hal!E119+Cem!E119+Par!E119+EDv!F96+Str!E119+Ele!E119+Wat!E119+San!E119+Ref!E119</f>
        <v>-2000</v>
      </c>
      <c r="G32" s="89">
        <f>+Cs!F119+Fin!F119+Rat!F119+MM!F119+Lib!F119+Pry!F119+Hal!F119+Cem!F119+Par!F119+EDv!G96+Str!F119+Ele!F119+Wat!F119+San!F119+Ref!F119</f>
        <v>-2000</v>
      </c>
      <c r="H32" s="89">
        <f>+Cs!G119+Fin!G119+Rat!G119+MM!G119+Lib!G119+Pry!G119+Hal!G119+Cem!G119+Par!G119+EDv!H96+Str!G119+Ele!G119+Wat!G119+San!G119+Ref!G119</f>
        <v>-2000</v>
      </c>
      <c r="I32" s="66" t="s">
        <v>2707</v>
      </c>
    </row>
    <row r="33" spans="1:9" x14ac:dyDescent="0.35">
      <c r="A33" s="66" t="s">
        <v>152</v>
      </c>
      <c r="B33" s="66" t="s">
        <v>22</v>
      </c>
      <c r="C33" s="89">
        <f>+Cs!B24+Fin!B24+Rat!B24+MM!B24+Lib!B24+Pry!B24+Hal!B24+Cem!B24+Par!B24+EDv!C14+Str!B24+Ele!B24+Wat!B24+San!B24+Ref!B24</f>
        <v>-5000000</v>
      </c>
      <c r="D33" s="89">
        <f>+Cs!C24+Fin!C24+Rat!C24+MM!C24+Lib!C24+Pry!C24+Hal!C24+Cem!C24+Par!C24+EDv!D14+Str!C24+Ele!C24+Wat!C24+San!C24+Ref!C24</f>
        <v>0</v>
      </c>
      <c r="E33" s="89">
        <f>+Cs!D24+Fin!D24+Rat!D24+MM!D24+Lib!D24+Pry!D24+Hal!D24+Cem!D24+Par!D24+EDv!E14+Str!D24+Ele!D24+Wat!D24+San!D24+Ref!D24</f>
        <v>0</v>
      </c>
      <c r="F33" s="89">
        <f>+Cs!E24+Fin!E24+Rat!E24+MM!E24+Lib!E24+Pry!E24+Hal!E24+Cem!E24+Par!E24+EDv!F14+Str!E24+Ele!E24+Wat!E24+San!E24+Ref!E24</f>
        <v>0</v>
      </c>
      <c r="G33" s="89">
        <f>+Cs!F24+Fin!F24+Rat!F24+MM!F24+Lib!F24+Pry!F24+Hal!F24+Cem!F24+Par!F24+EDv!G14+Str!F24+Ele!F24+Wat!F24+San!F24+Ref!F24</f>
        <v>0</v>
      </c>
      <c r="H33" s="89">
        <f>+Cs!G24+Fin!G24+Rat!G24+MM!G24+Lib!G24+Pry!G24+Hal!G24+Cem!G24+Par!G24+EDv!H14+Str!G24+Ele!G24+Wat!G24+San!G24+Ref!G24</f>
        <v>0</v>
      </c>
      <c r="I33" s="66" t="s">
        <v>2709</v>
      </c>
    </row>
    <row r="34" spans="1:9" x14ac:dyDescent="0.35">
      <c r="A34" s="66" t="s">
        <v>154</v>
      </c>
      <c r="B34" s="66" t="s">
        <v>315</v>
      </c>
      <c r="C34" s="89" t="e">
        <f>+Cs!#REF!+Fin!#REF!+Rat!#REF!+MM!#REF!+Lib!#REF!+Pry!#REF!+Hal!#REF!+Cem!#REF!+Par!#REF!+EDv!C61+Str!#REF!+Ele!#REF!+Wat!#REF!+San!#REF!+Ref!#REF!</f>
        <v>#REF!</v>
      </c>
      <c r="D34" s="89" t="e">
        <f>+Cs!#REF!+Fin!#REF!+Rat!#REF!+MM!#REF!+Lib!#REF!+Pry!#REF!+Hal!#REF!+Cem!#REF!+Par!#REF!+EDv!D61+Str!#REF!+Ele!#REF!+Wat!#REF!+San!#REF!+Ref!#REF!</f>
        <v>#REF!</v>
      </c>
      <c r="E34" s="89" t="e">
        <f>+Cs!#REF!+Fin!#REF!+Rat!#REF!+MM!#REF!+Lib!#REF!+Pry!#REF!+Hal!#REF!+Cem!#REF!+Par!#REF!+EDv!E61+Str!#REF!+Ele!#REF!+Wat!#REF!+San!#REF!+Ref!#REF!</f>
        <v>#REF!</v>
      </c>
      <c r="F34" s="89" t="e">
        <f>+Cs!#REF!+Fin!#REF!+Rat!#REF!+MM!#REF!+Lib!#REF!+Pry!#REF!+Hal!#REF!+Cem!#REF!+Par!#REF!+EDv!F61+Str!#REF!+Ele!#REF!+Wat!#REF!+San!#REF!+Ref!#REF!</f>
        <v>#REF!</v>
      </c>
      <c r="G34" s="89" t="e">
        <f>+Cs!#REF!+Fin!#REF!+Rat!#REF!+MM!#REF!+Lib!#REF!+Pry!#REF!+Hal!#REF!+Cem!#REF!+Par!#REF!+EDv!G61+Str!#REF!+Ele!#REF!+Wat!#REF!+San!#REF!+Ref!#REF!</f>
        <v>#REF!</v>
      </c>
      <c r="H34" s="89" t="e">
        <f>+Cs!#REF!+Fin!#REF!+Rat!#REF!+MM!#REF!+Lib!#REF!+Pry!#REF!+Hal!#REF!+Cem!#REF!+Par!#REF!+EDv!H61+Str!#REF!+Ele!#REF!+Wat!#REF!+San!#REF!+Ref!#REF!</f>
        <v>#REF!</v>
      </c>
      <c r="I34" s="66" t="s">
        <v>2707</v>
      </c>
    </row>
    <row r="35" spans="1:9" x14ac:dyDescent="0.35">
      <c r="A35" s="66" t="s">
        <v>156</v>
      </c>
      <c r="B35" s="66" t="s">
        <v>448</v>
      </c>
      <c r="C35" s="89" t="e">
        <f>+Cs!#REF!+Fin!#REF!+Rat!#REF!+MM!#REF!+Lib!#REF!+Pry!#REF!+Hal!#REF!+Cem!#REF!+Par!#REF!+EDv!C69+Str!#REF!+Ele!#REF!+Wat!#REF!+San!#REF!+Ref!#REF!</f>
        <v>#REF!</v>
      </c>
      <c r="D35" s="89" t="e">
        <f>+Cs!#REF!+Fin!#REF!+Rat!#REF!+MM!#REF!+Lib!#REF!+Pry!#REF!+Hal!#REF!+Cem!#REF!+Par!#REF!+EDv!D69+Str!#REF!+Ele!#REF!+Wat!#REF!+San!#REF!+Ref!#REF!</f>
        <v>#REF!</v>
      </c>
      <c r="E35" s="89" t="e">
        <f>+Cs!#REF!+Fin!#REF!+Rat!#REF!+MM!#REF!+Lib!#REF!+Pry!#REF!+Hal!#REF!+Cem!#REF!+Par!#REF!+EDv!E69+Str!#REF!+Ele!#REF!+Wat!#REF!+San!#REF!+Ref!#REF!</f>
        <v>#REF!</v>
      </c>
      <c r="F35" s="89" t="e">
        <f>+Cs!#REF!+Fin!#REF!+Rat!#REF!+MM!#REF!+Lib!#REF!+Pry!#REF!+Hal!#REF!+Cem!#REF!+Par!#REF!+EDv!F69+Str!#REF!+Ele!#REF!+Wat!#REF!+San!#REF!+Ref!#REF!</f>
        <v>#REF!</v>
      </c>
      <c r="G35" s="89" t="e">
        <f>+Cs!#REF!+Fin!#REF!+Rat!#REF!+MM!#REF!+Lib!#REF!+Pry!#REF!+Hal!#REF!+Cem!#REF!+Par!#REF!+EDv!G69+Str!#REF!+Ele!#REF!+Wat!#REF!+San!#REF!+Ref!#REF!</f>
        <v>#REF!</v>
      </c>
      <c r="H35" s="89" t="e">
        <f>+Cs!#REF!+Fin!#REF!+Rat!#REF!+MM!#REF!+Lib!#REF!+Pry!#REF!+Hal!#REF!+Cem!#REF!+Par!#REF!+EDv!H69+Str!#REF!+Ele!#REF!+Wat!#REF!+San!#REF!+Ref!#REF!</f>
        <v>#REF!</v>
      </c>
      <c r="I35" s="66" t="s">
        <v>2716</v>
      </c>
    </row>
    <row r="36" spans="1:9" x14ac:dyDescent="0.35">
      <c r="A36" s="66" t="s">
        <v>158</v>
      </c>
      <c r="B36" s="66" t="s">
        <v>175</v>
      </c>
      <c r="C36" s="89" t="e">
        <f>+Cs!#REF!+Fin!#REF!+Rat!#REF!+MM!#REF!+Lib!#REF!+Pry!#REF!+Hal!#REF!+Cem!#REF!+Par!#REF!+EDv!C44+Str!#REF!+Ele!#REF!+Wat!#REF!+San!#REF!+Ref!#REF!</f>
        <v>#REF!</v>
      </c>
      <c r="D36" s="89" t="e">
        <f>+Cs!#REF!+Fin!#REF!+Rat!#REF!+MM!#REF!+Lib!#REF!+Pry!#REF!+Hal!#REF!+Cem!#REF!+Par!#REF!+EDv!D44+Str!#REF!+Ele!#REF!+Wat!#REF!+San!#REF!+Ref!#REF!</f>
        <v>#REF!</v>
      </c>
      <c r="E36" s="89" t="e">
        <f>+Cs!#REF!+Fin!#REF!+Rat!#REF!+MM!#REF!+Lib!#REF!+Pry!#REF!+Hal!#REF!+Cem!#REF!+Par!#REF!+EDv!E44+Str!#REF!+Ele!#REF!+Wat!#REF!+San!#REF!+Ref!#REF!</f>
        <v>#REF!</v>
      </c>
      <c r="F36" s="89" t="e">
        <f>+Cs!#REF!+Fin!#REF!+Rat!#REF!+MM!#REF!+Lib!#REF!+Pry!#REF!+Hal!#REF!+Cem!#REF!+Par!#REF!+EDv!F44+Str!#REF!+Ele!#REF!+Wat!#REF!+San!#REF!+Ref!#REF!</f>
        <v>#REF!</v>
      </c>
      <c r="G36" s="89" t="e">
        <f>+Cs!#REF!+Fin!#REF!+Rat!#REF!+MM!#REF!+Lib!#REF!+Pry!#REF!+Hal!#REF!+Cem!#REF!+Par!#REF!+EDv!G44+Str!#REF!+Ele!#REF!+Wat!#REF!+San!#REF!+Ref!#REF!</f>
        <v>#REF!</v>
      </c>
      <c r="H36" s="89" t="e">
        <f>+Cs!#REF!+Fin!#REF!+Rat!#REF!+MM!#REF!+Lib!#REF!+Pry!#REF!+Hal!#REF!+Cem!#REF!+Par!#REF!+EDv!H44+Str!#REF!+Ele!#REF!+Wat!#REF!+San!#REF!+Ref!#REF!</f>
        <v>#REF!</v>
      </c>
      <c r="I36" s="66" t="s">
        <v>2714</v>
      </c>
    </row>
    <row r="37" spans="1:9" x14ac:dyDescent="0.35">
      <c r="A37" s="66" t="s">
        <v>160</v>
      </c>
      <c r="B37" s="66" t="s">
        <v>190</v>
      </c>
      <c r="C37" s="89" t="e">
        <f>+Cs!#REF!+Fin!#REF!+Rat!#REF!+MM!#REF!+Lib!#REF!+Pry!#REF!+Hal!#REF!+Cem!#REF!+Par!#REF!+EDv!C51+Str!#REF!+Ele!#REF!+Wat!#REF!+San!#REF!+Ref!#REF!</f>
        <v>#REF!</v>
      </c>
      <c r="D37" s="89" t="e">
        <f>+Cs!#REF!+Fin!#REF!+Rat!#REF!+MM!#REF!+Lib!#REF!+Pry!#REF!+Hal!#REF!+Cem!#REF!+Par!#REF!+EDv!D51+Str!#REF!+Ele!#REF!+Wat!#REF!+San!#REF!+Ref!#REF!</f>
        <v>#REF!</v>
      </c>
      <c r="E37" s="89" t="e">
        <f>+Cs!#REF!+Fin!#REF!+Rat!#REF!+MM!#REF!+Lib!#REF!+Pry!#REF!+Hal!#REF!+Cem!#REF!+Par!#REF!+EDv!E51+Str!#REF!+Ele!#REF!+Wat!#REF!+San!#REF!+Ref!#REF!</f>
        <v>#REF!</v>
      </c>
      <c r="F37" s="89" t="e">
        <f>+Cs!#REF!+Fin!#REF!+Rat!#REF!+MM!#REF!+Lib!#REF!+Pry!#REF!+Hal!#REF!+Cem!#REF!+Par!#REF!+EDv!F51+Str!#REF!+Ele!#REF!+Wat!#REF!+San!#REF!+Ref!#REF!</f>
        <v>#REF!</v>
      </c>
      <c r="G37" s="89" t="e">
        <f>+Cs!#REF!+Fin!#REF!+Rat!#REF!+MM!#REF!+Lib!#REF!+Pry!#REF!+Hal!#REF!+Cem!#REF!+Par!#REF!+EDv!G51+Str!#REF!+Ele!#REF!+Wat!#REF!+San!#REF!+Ref!#REF!</f>
        <v>#REF!</v>
      </c>
      <c r="H37" s="89" t="e">
        <f>+Cs!#REF!+Fin!#REF!+Rat!#REF!+MM!#REF!+Lib!#REF!+Pry!#REF!+Hal!#REF!+Cem!#REF!+Par!#REF!+EDv!H51+Str!#REF!+Ele!#REF!+Wat!#REF!+San!#REF!+Ref!#REF!</f>
        <v>#REF!</v>
      </c>
      <c r="I37" s="66" t="s">
        <v>2707</v>
      </c>
    </row>
    <row r="38" spans="1:9" x14ac:dyDescent="0.35">
      <c r="A38" s="66" t="s">
        <v>162</v>
      </c>
      <c r="B38" s="66" t="s">
        <v>138</v>
      </c>
      <c r="C38" s="89">
        <f>+Cs!B39+Fin!B39+Rat!B39+MM!B39+Lib!B39+Pry!B39+Hal!B39+Cem!B39+Par!B39+EDv!C26+Str!B39+Ele!B39+Wat!B39+San!B39+Ref!B39</f>
        <v>567000</v>
      </c>
      <c r="D38" s="89">
        <f>+Cs!C39+Fin!C39+Rat!C39+MM!C39+Lib!C39+Pry!C39+Hal!C39+Cem!C39+Par!C39+EDv!D26+Str!C39+Ele!C39+Wat!C39+San!C39+Ref!C39</f>
        <v>567000</v>
      </c>
      <c r="E38" s="89">
        <f>+Cs!D39+Fin!D39+Rat!D39+MM!D39+Lib!D39+Pry!D39+Hal!D39+Cem!D39+Par!D39+EDv!E26+Str!D39+Ele!D38+Wat!D39+San!D39+Ref!D39</f>
        <v>332074.28999999998</v>
      </c>
      <c r="F38" s="89">
        <f>+Cs!E39+Fin!E39+Rat!E39+MM!E39+Lib!E39+Pry!E39+Hal!E39+Cem!E39+Par!E39+EDv!F26+Str!E39+Ele!E38+Wat!E39+San!E39+Ref!E39</f>
        <v>347400</v>
      </c>
      <c r="G38" s="89">
        <f>+Cs!F39+Fin!F39+Rat!F39+MM!F39+Lib!F39+Pry!F39+Hal!F39+Cem!F39+Par!F39+EDv!G26+Str!F39+Ele!F38+Wat!F39+San!F39+Ref!F39</f>
        <v>363400</v>
      </c>
      <c r="H38" s="89">
        <f>+Cs!G39+Fin!G39+Rat!G39+MM!G39+Lib!G39+Pry!G39+Hal!G39+Cem!G39+Par!G39+EDv!H26+Str!G39+Ele!G38+Wat!G39+San!G39+Ref!G39</f>
        <v>380300</v>
      </c>
      <c r="I38" s="66" t="s">
        <v>2712</v>
      </c>
    </row>
    <row r="39" spans="1:9" x14ac:dyDescent="0.35">
      <c r="A39" s="66" t="s">
        <v>164</v>
      </c>
      <c r="B39" s="66" t="s">
        <v>289</v>
      </c>
      <c r="C39" s="89" t="e">
        <f>+Cs!#REF!+Fin!#REF!+Rat!#REF!+MM!#REF!+Lib!#REF!+Pry!#REF!+Hal!#REF!+Cem!#REF!+Par!#REF!+EDv!C58+Str!#REF!+Ele!#REF!+Wat!#REF!+San!#REF!+Ref!#REF!</f>
        <v>#REF!</v>
      </c>
      <c r="D39" s="89" t="e">
        <f>+Cs!#REF!+Fin!#REF!+Rat!#REF!+MM!#REF!+Lib!#REF!+Pry!#REF!+Hal!#REF!+Cem!#REF!+Par!#REF!+EDv!D58+Str!#REF!+Ele!#REF!+Wat!#REF!+San!#REF!+Ref!#REF!</f>
        <v>#REF!</v>
      </c>
      <c r="E39" s="89" t="e">
        <f>+Cs!#REF!+Fin!#REF!+Rat!#REF!+MM!#REF!+Lib!#REF!+Pry!#REF!+Hal!#REF!+Cem!#REF!+Par!#REF!+EDv!E58+Str!#REF!+Ele!#REF!+Wat!#REF!+San!#REF!+Ref!#REF!</f>
        <v>#REF!</v>
      </c>
      <c r="F39" s="89" t="e">
        <f>+Cs!#REF!+Fin!#REF!+Rat!#REF!+MM!#REF!+Lib!#REF!+Pry!#REF!+Hal!#REF!+Cem!#REF!+Par!#REF!+EDv!F58+Str!#REF!+Ele!#REF!+Wat!#REF!+San!#REF!+Ref!#REF!</f>
        <v>#REF!</v>
      </c>
      <c r="G39" s="89" t="e">
        <f>+Cs!#REF!+Fin!#REF!+Rat!#REF!+MM!#REF!+Lib!#REF!+Pry!#REF!+Hal!#REF!+Cem!#REF!+Par!#REF!+EDv!G58+Str!#REF!+Ele!#REF!+Wat!#REF!+San!#REF!+Ref!#REF!</f>
        <v>#REF!</v>
      </c>
      <c r="H39" s="89" t="e">
        <f>+Cs!#REF!+Fin!#REF!+Rat!#REF!+MM!#REF!+Lib!#REF!+Pry!#REF!+Hal!#REF!+Cem!#REF!+Par!#REF!+EDv!H58+Str!#REF!+Ele!#REF!+Wat!#REF!+San!#REF!+Ref!#REF!</f>
        <v>#REF!</v>
      </c>
      <c r="I39" s="66" t="s">
        <v>2712</v>
      </c>
    </row>
    <row r="40" spans="1:9" x14ac:dyDescent="0.35">
      <c r="A40" s="66" t="s">
        <v>2672</v>
      </c>
      <c r="B40" s="66" t="s">
        <v>136</v>
      </c>
      <c r="C40" s="89">
        <f>+Cs!B32+Fin!B32+Rat!B32+MM!B32+Lib!B32+Pry!B32+Hal!B32+Cem!B32+Par!B32+EDv!C25+Str!B32+Ele!B32+Wat!B32+San!B32+Ref!B32</f>
        <v>598400</v>
      </c>
      <c r="D40" s="89">
        <f>+Cs!C32+Fin!C32+Rat!C32+MM!C32+Lib!C32+Pry!C32+Hal!C32+Cem!C32+Par!C32+EDv!D25+Str!C32+Ele!C32+Wat!C32+San!C32+Ref!C32</f>
        <v>598400</v>
      </c>
      <c r="E40" s="89">
        <f>+Cs!D32+Fin!D32+Rat!D32+MM!D32+Lib!D32+Pry!D32+Hal!D32+Cem!D32+Par!D32+EDv!E25+Str!D32+Ele!D32+Wat!D32+San!D32+Ref!D32</f>
        <v>340554.47</v>
      </c>
      <c r="F40" s="89">
        <f>+Cs!E32+Fin!E32+Rat!E32+MM!E32+Lib!E32+Pry!E32+Hal!E32+Cem!E32+Par!E32+EDv!F25+Str!E32+Ele!E32+Wat!E32+San!E32+Ref!E32</f>
        <v>364100</v>
      </c>
      <c r="G40" s="89">
        <f>+Cs!F32+Fin!F32+Rat!F32+MM!F32+Lib!F32+Pry!F32+Hal!F32+Cem!F32+Par!F32+EDv!G25+Str!F32+Ele!F32+Wat!F32+San!F32+Ref!F32</f>
        <v>380900</v>
      </c>
      <c r="H40" s="89">
        <f>+Cs!G32+Fin!G32+Rat!G32+MM!G32+Lib!G32+Pry!G32+Hal!G32+Cem!G32+Par!G32+EDv!H25+Str!G32+Ele!G32+Wat!G32+San!G32+Ref!G32</f>
        <v>398500</v>
      </c>
      <c r="I40" s="66" t="s">
        <v>2711</v>
      </c>
    </row>
    <row r="41" spans="1:9" x14ac:dyDescent="0.35">
      <c r="A41" s="66" t="s">
        <v>168</v>
      </c>
      <c r="B41" s="66" t="s">
        <v>173</v>
      </c>
      <c r="C41" s="89" t="e">
        <f>+Cs!#REF!+Fin!#REF!+Rat!#REF!+MM!#REF!+Lib!#REF!+Pry!#REF!+Hal!#REF!+Cem!#REF!+Par!#REF!+EDv!C43+Str!#REF!+Ele!#REF!+Wat!#REF!+San!#REF!+Ref!#REF!</f>
        <v>#REF!</v>
      </c>
      <c r="D41" s="89" t="e">
        <f>+Cs!#REF!+Fin!#REF!+Rat!#REF!+MM!#REF!+Lib!#REF!+Pry!#REF!+Hal!#REF!+Cem!#REF!+Par!#REF!+EDv!D43+Str!#REF!+Ele!#REF!+Wat!#REF!+San!#REF!+Ref!#REF!</f>
        <v>#REF!</v>
      </c>
      <c r="E41" s="89" t="e">
        <f>+Cs!#REF!+Fin!#REF!+Rat!#REF!+MM!#REF!+Lib!#REF!+Pry!#REF!+Hal!#REF!+Cem!#REF!+Par!#REF!+EDv!E43+Str!#REF!+Ele!#REF!+Wat!#REF!+San!#REF!+Ref!#REF!</f>
        <v>#REF!</v>
      </c>
      <c r="F41" s="89" t="e">
        <f>+Cs!#REF!+Fin!#REF!+Rat!#REF!+MM!#REF!+Lib!#REF!+Pry!#REF!+Hal!#REF!+Cem!#REF!+Par!#REF!+EDv!F43+Str!#REF!+Ele!#REF!+Wat!#REF!+San!#REF!+Ref!#REF!</f>
        <v>#REF!</v>
      </c>
      <c r="G41" s="89" t="e">
        <f>+Cs!#REF!+Fin!#REF!+Rat!#REF!+MM!#REF!+Lib!#REF!+Pry!#REF!+Hal!#REF!+Cem!#REF!+Par!#REF!+EDv!G43+Str!#REF!+Ele!#REF!+Wat!#REF!+San!#REF!+Ref!#REF!</f>
        <v>#REF!</v>
      </c>
      <c r="H41" s="89" t="e">
        <f>+Cs!#REF!+Fin!#REF!+Rat!#REF!+MM!#REF!+Lib!#REF!+Pry!#REF!+Hal!#REF!+Cem!#REF!+Par!#REF!+EDv!H43+Str!#REF!+Ele!#REF!+Wat!#REF!+San!#REF!+Ref!#REF!</f>
        <v>#REF!</v>
      </c>
      <c r="I41" s="66" t="s">
        <v>2714</v>
      </c>
    </row>
    <row r="42" spans="1:9" x14ac:dyDescent="0.35">
      <c r="A42" s="66" t="s">
        <v>170</v>
      </c>
      <c r="B42" s="66" t="s">
        <v>317</v>
      </c>
      <c r="C42" s="89">
        <f>+Cs!B86+Fin!B86+Rat!B86+MM!B86+Lib!B86+Pry!B86+Hal!B86+Cem!B86+Par!B86+EDv!C62+Str!B86+Ele!B86+Wat!B86+San!B86+Ref!B86</f>
        <v>-15200</v>
      </c>
      <c r="D42" s="89">
        <f>+Cs!C86+Fin!C86+Rat!C86+MM!C86+Lib!C86+Pry!C86+Hal!C86+Cem!C86+Par!C86+EDv!D62+Str!C86+Ele!C86+Wat!C86+San!C86+Ref!C86</f>
        <v>-15200</v>
      </c>
      <c r="E42" s="89">
        <f>+Cs!D86+Fin!D86+Rat!D86+MM!D86+Lib!D86+Pry!D86+Hal!D86+Cem!D86+Par!D86+EDv!E62+Str!D86+Ele!D86+Wat!D86+San!D86+Ref!D86</f>
        <v>-7100</v>
      </c>
      <c r="F42" s="89">
        <f>+Cs!E86+Fin!E86+Rat!E86+MM!E86+Lib!E86+Pry!E86+Hal!E86+Cem!E86+Par!E86+EDv!F62+Str!E86+Ele!E86+Wat!E86+San!E86+Ref!E86</f>
        <v>-10900</v>
      </c>
      <c r="G42" s="89">
        <f>+Cs!F86+Fin!F86+Rat!F86+MM!F86+Lib!F86+Pry!F86+Hal!F86+Cem!F86+Par!F86+EDv!G62+Str!F86+Ele!F86+Wat!F86+San!F86+Ref!F86</f>
        <v>-11400</v>
      </c>
      <c r="H42" s="89">
        <f>+Cs!G86+Fin!G86+Rat!G86+MM!G86+Lib!G86+Pry!G86+Hal!G86+Cem!G86+Par!G86+EDv!H62+Str!G86+Ele!G86+Wat!G86+San!G86+Ref!G86</f>
        <v>-12000</v>
      </c>
      <c r="I42" s="66" t="s">
        <v>2707</v>
      </c>
    </row>
    <row r="43" spans="1:9" x14ac:dyDescent="0.35">
      <c r="A43" s="66" t="s">
        <v>172</v>
      </c>
      <c r="B43" s="66" t="s">
        <v>188</v>
      </c>
      <c r="C43" s="89" t="e">
        <f>+Cs!#REF!+Fin!#REF!+Rat!#REF!+MM!#REF!+Lib!#REF!+Pry!#REF!+Hal!#REF!+Cem!#REF!+Par!#REF!+EDv!C50+Str!#REF!+Ele!#REF!+Wat!#REF!+San!#REF!+Ref!#REF!</f>
        <v>#REF!</v>
      </c>
      <c r="D43" s="89" t="e">
        <f>+Cs!#REF!+Fin!#REF!+Rat!#REF!+MM!#REF!+Lib!#REF!+Pry!#REF!+Hal!#REF!+Cem!#REF!+Par!#REF!+EDv!D50+Str!#REF!+Ele!#REF!+Wat!#REF!+San!#REF!+Ref!#REF!</f>
        <v>#REF!</v>
      </c>
      <c r="E43" s="89" t="e">
        <f>+Cs!#REF!+Fin!#REF!+Rat!#REF!+MM!#REF!+Lib!#REF!+Pry!#REF!+Hal!#REF!+Cem!#REF!+Par!#REF!+EDv!E50+Str!#REF!+Ele!#REF!+Wat!#REF!+San!#REF!+Ref!#REF!</f>
        <v>#REF!</v>
      </c>
      <c r="F43" s="89" t="e">
        <f>+Cs!#REF!+Fin!#REF!+Rat!#REF!+MM!#REF!+Lib!#REF!+Pry!#REF!+Hal!#REF!+Cem!#REF!+Par!#REF!+EDv!F50+Str!#REF!+Ele!#REF!+Wat!#REF!+San!#REF!+Ref!#REF!</f>
        <v>#REF!</v>
      </c>
      <c r="G43" s="89" t="e">
        <f>+Cs!#REF!+Fin!#REF!+Rat!#REF!+MM!#REF!+Lib!#REF!+Pry!#REF!+Hal!#REF!+Cem!#REF!+Par!#REF!+EDv!G50+Str!#REF!+Ele!#REF!+Wat!#REF!+San!#REF!+Ref!#REF!</f>
        <v>#REF!</v>
      </c>
      <c r="H43" s="89" t="e">
        <f>+Cs!#REF!+Fin!#REF!+Rat!#REF!+MM!#REF!+Lib!#REF!+Pry!#REF!+Hal!#REF!+Cem!#REF!+Par!#REF!+EDv!H50+Str!#REF!+Ele!#REF!+Wat!#REF!+San!#REF!+Ref!#REF!</f>
        <v>#REF!</v>
      </c>
      <c r="I43" s="66" t="s">
        <v>2707</v>
      </c>
    </row>
    <row r="44" spans="1:9" x14ac:dyDescent="0.35">
      <c r="A44" s="66" t="s">
        <v>174</v>
      </c>
      <c r="B44" s="66" t="s">
        <v>169</v>
      </c>
      <c r="C44" s="89">
        <f>+Cs!B73+Fin!B73+Rat!B73+MM!B73+Lib!B73+Pry!B73+Hal!B73+Cem!B73+Par!B73+EDv!C41+Str!B73+Ele!B73+Wat!B73+San!B73+Ref!B73</f>
        <v>-1000</v>
      </c>
      <c r="D44" s="89">
        <f>+Cs!C73+Fin!C73+Rat!C73+MM!C73+Lib!C73+Pry!C73+Hal!C73+Cem!C73+Par!C73+EDv!D41+Str!C73+Ele!C73+Wat!C73+San!C73+Ref!C73</f>
        <v>-1000</v>
      </c>
      <c r="E44" s="89">
        <f>+Cs!D73+Fin!D73+Rat!D73+MM!D73+Lib!D73+Pry!D73+Hal!D73+Cem!D73+Par!D73+EDv!E41+Str!D73+Ele!D73+Wat!D73+San!D73+Ref!D73</f>
        <v>-100</v>
      </c>
      <c r="F44" s="89">
        <f>+Cs!E73+Fin!E73+Rat!E73+MM!E73+Lib!E73+Pry!E73+Hal!E73+Cem!E73+Par!E73+EDv!F41+Str!E73+Ele!E73+Wat!E73+San!E73+Ref!E73</f>
        <v>0</v>
      </c>
      <c r="G44" s="89">
        <f>+Cs!F73+Fin!F73+Rat!F73+MM!F73+Lib!F73+Pry!F73+Hal!F73+Cem!F73+Par!F73+EDv!G41+Str!F73+Ele!F73+Wat!F73+San!F73+Ref!F73</f>
        <v>0</v>
      </c>
      <c r="H44" s="89">
        <f>+Cs!G73+Fin!G73+Rat!G73+MM!G73+Lib!G73+Pry!G73+Hal!G73+Cem!G73+Par!G73+EDv!H41+Str!G73+Ele!G73+Wat!G73+San!G73+Ref!G73</f>
        <v>0</v>
      </c>
      <c r="I44" s="66" t="s">
        <v>2708</v>
      </c>
    </row>
    <row r="45" spans="1:9" x14ac:dyDescent="0.35">
      <c r="A45" s="66" t="s">
        <v>176</v>
      </c>
      <c r="B45" s="66" t="s">
        <v>387</v>
      </c>
      <c r="C45" s="89" t="e">
        <f>+Cs!#REF!+Fin!#REF!+Rat!#REF!+MM!#REF!+Lib!#REF!+Pry!#REF!+Hal!#REF!+Cem!#REF!+Par!#REF!+EDv!C64+Str!#REF!+Ele!#REF!+Wat!#REF!+San!#REF!+Ref!#REF!</f>
        <v>#REF!</v>
      </c>
      <c r="D45" s="89" t="e">
        <f>+Cs!#REF!+Fin!#REF!+Rat!#REF!+MM!#REF!+Lib!#REF!+Pry!#REF!+Hal!#REF!+Cem!#REF!+Par!#REF!+EDv!D64+Str!#REF!+Ele!#REF!+Wat!#REF!+San!#REF!+Ref!#REF!</f>
        <v>#REF!</v>
      </c>
      <c r="E45" s="89" t="e">
        <f>+Cs!#REF!+Fin!#REF!+Rat!#REF!+MM!#REF!+Lib!#REF!+Pry!#REF!+Hal!#REF!+Cem!#REF!+Par!#REF!+EDv!E64+Str!#REF!+Ele!#REF!+Wat!#REF!+San!#REF!+Ref!#REF!</f>
        <v>#REF!</v>
      </c>
      <c r="F45" s="89" t="e">
        <f>+Cs!#REF!+Fin!#REF!+Rat!#REF!+MM!#REF!+Lib!#REF!+Pry!#REF!+Hal!#REF!+Cem!#REF!+Par!#REF!+EDv!F64+Str!#REF!+Ele!#REF!+Wat!#REF!+San!#REF!+Ref!#REF!</f>
        <v>#REF!</v>
      </c>
      <c r="G45" s="89" t="e">
        <f>+Cs!#REF!+Fin!#REF!+Rat!#REF!+MM!#REF!+Lib!#REF!+Pry!#REF!+Hal!#REF!+Cem!#REF!+Par!#REF!+EDv!G64+Str!#REF!+Ele!#REF!+Wat!#REF!+San!#REF!+Ref!#REF!</f>
        <v>#REF!</v>
      </c>
      <c r="H45" s="89" t="e">
        <f>+Cs!#REF!+Fin!#REF!+Rat!#REF!+MM!#REF!+Lib!#REF!+Pry!#REF!+Hal!#REF!+Cem!#REF!+Par!#REF!+EDv!H64+Str!#REF!+Ele!#REF!+Wat!#REF!+San!#REF!+Ref!#REF!</f>
        <v>#REF!</v>
      </c>
      <c r="I45" s="66" t="s">
        <v>2707</v>
      </c>
    </row>
    <row r="46" spans="1:9" x14ac:dyDescent="0.35">
      <c r="A46" s="66" t="s">
        <v>178</v>
      </c>
      <c r="B46" s="66" t="s">
        <v>2670</v>
      </c>
      <c r="C46" s="89">
        <f>+Cs!B87+Fin!B87+Rat!B87+MM!B87+Lib!B87+Pry!B87+Hal!B87+Cem!B87+Par!B87+EDv!C65+Str!B87+Ele!B87+Wat!B87+San!B87+Ref!B87</f>
        <v>-3510500</v>
      </c>
      <c r="D46" s="89">
        <f>+Cs!C87+Fin!C87+Rat!C87+MM!C87+Lib!C87+Pry!C87+Hal!C87+Cem!C87+Par!C87+EDv!D65+Str!C87+Ele!C87+Wat!C87+San!C87+Ref!C87</f>
        <v>-3510500</v>
      </c>
      <c r="E46" s="89">
        <f>+Cs!D87+Fin!D87+Rat!D87+MM!D87+Lib!D87+Pry!D87+Hal!D87+Cem!D87+Par!D87+EDv!E65+Str!D87+Ele!D87+Wat!D87+San!D87+Ref!D87</f>
        <v>-3455957.99</v>
      </c>
      <c r="F46" s="89">
        <f>+Cs!E87+Fin!E87+Rat!E87+MM!E87+Lib!E87+Pry!E87+Hal!E87+Cem!E87+Par!E87+EDv!F65+Str!E87+Ele!E87+Wat!E87+San!E87+Ref!E87</f>
        <v>-3697500</v>
      </c>
      <c r="G46" s="89">
        <f>+Cs!F87+Fin!F87+Rat!F87+MM!F87+Lib!F87+Pry!F87+Hal!F87+Cem!F87+Par!F87+EDv!G65+Str!F87+Ele!F87+Wat!F87+San!F87+Ref!F87</f>
        <v>-3777700</v>
      </c>
      <c r="H46" s="89">
        <f>+Cs!G87+Fin!G87+Rat!G87+MM!G87+Lib!G87+Pry!G87+Hal!G87+Cem!G87+Par!G87+EDv!H65+Str!G87+Ele!G87+Wat!G87+San!G87+Ref!G87</f>
        <v>-3951500</v>
      </c>
      <c r="I46" s="66" t="s">
        <v>2708</v>
      </c>
    </row>
    <row r="47" spans="1:9" x14ac:dyDescent="0.35">
      <c r="A47" s="66" t="s">
        <v>180</v>
      </c>
      <c r="B47" s="66" t="s">
        <v>384</v>
      </c>
      <c r="C47" s="89" t="e">
        <f>+Cs!#REF!+Fin!#REF!+Rat!#REF!+MM!#REF!+Lib!#REF!+Pry!#REF!+Hal!#REF!+Cem!#REF!+Par!#REF!+EDv!C63+Str!#REF!+Ele!#REF!+Wat!#REF!+San!#REF!+Ref!#REF!</f>
        <v>#REF!</v>
      </c>
      <c r="D47" s="89" t="e">
        <f>+Cs!#REF!+Fin!#REF!+Rat!#REF!+MM!#REF!+Lib!#REF!+Pry!#REF!+Hal!#REF!+Cem!#REF!+Par!#REF!+EDv!D63+Str!#REF!+Ele!#REF!+Wat!#REF!+San!#REF!+Ref!#REF!</f>
        <v>#REF!</v>
      </c>
      <c r="E47" s="89" t="e">
        <f>+Cs!#REF!+Fin!#REF!+Rat!#REF!+MM!#REF!+Lib!#REF!+Pry!#REF!+Hal!#REF!+Cem!#REF!+Par!#REF!+EDv!E63+Str!#REF!+Ele!#REF!+Wat!#REF!+San!#REF!+Ref!#REF!</f>
        <v>#REF!</v>
      </c>
      <c r="F47" s="89" t="e">
        <f>+Cs!#REF!+Fin!#REF!+Rat!#REF!+MM!#REF!+Lib!#REF!+Pry!#REF!+Hal!#REF!+Cem!#REF!+Par!#REF!+EDv!F63+Str!#REF!+Ele!#REF!+Wat!#REF!+San!#REF!+Ref!#REF!</f>
        <v>#REF!</v>
      </c>
      <c r="G47" s="89" t="e">
        <f>+Cs!#REF!+Fin!#REF!+Rat!#REF!+MM!#REF!+Lib!#REF!+Pry!#REF!+Hal!#REF!+Cem!#REF!+Par!#REF!+EDv!G63+Str!#REF!+Ele!#REF!+Wat!#REF!+San!#REF!+Ref!#REF!</f>
        <v>#REF!</v>
      </c>
      <c r="H47" s="89" t="e">
        <f>+Cs!#REF!+Fin!#REF!+Rat!#REF!+MM!#REF!+Lib!#REF!+Pry!#REF!+Hal!#REF!+Cem!#REF!+Par!#REF!+EDv!H63+Str!#REF!+Ele!#REF!+Wat!#REF!+San!#REF!+Ref!#REF!</f>
        <v>#REF!</v>
      </c>
      <c r="I47" s="66" t="s">
        <v>2716</v>
      </c>
    </row>
    <row r="48" spans="1:9" x14ac:dyDescent="0.35">
      <c r="A48" s="66" t="s">
        <v>182</v>
      </c>
      <c r="B48" s="66" t="s">
        <v>391</v>
      </c>
      <c r="C48" s="89">
        <f>+Cs!B89+Fin!B89+Rat!B89+MM!B89+Lib!B89+Pry!B89+Hal!B89+Cem!B89+Par!B89+EDv!C66+Str!B89+Ele!B89+Wat!B89+San!B89+Ref!B89</f>
        <v>-20000000</v>
      </c>
      <c r="D48" s="89">
        <f>+Cs!C89+Fin!C89+Rat!C89+MM!C89+Lib!C89+Pry!C89+Hal!C89+Cem!C89+Par!C89+EDv!D66+Str!C89+Ele!C89+Wat!C89+San!C89+Ref!C89</f>
        <v>0</v>
      </c>
      <c r="E48" s="89">
        <f>+Cs!D89+Fin!D89+Rat!D89+MM!D89+Lib!D89+Pry!D89+Hal!D89+Cem!D89+Par!D89+EDv!E66+Str!D89+Ele!D89+Wat!D89+San!D89+Ref!D89</f>
        <v>0</v>
      </c>
      <c r="F48" s="89">
        <f>+Cs!E89+Fin!E89+Rat!E89+MM!E89+Lib!E89+Pry!E89+Hal!E89+Cem!E89+Par!E89+EDv!F66+Str!E89+Ele!E89+Wat!E89+San!E89+Ref!E89</f>
        <v>0</v>
      </c>
      <c r="G48" s="89">
        <f>+Cs!F89+Fin!F89+Rat!F89+MM!F89+Lib!F89+Pry!F89+Hal!F89+Cem!F89+Par!F89+EDv!G66+Str!F89+Ele!F89+Wat!F89+San!F89+Ref!F89</f>
        <v>0</v>
      </c>
      <c r="H48" s="89">
        <f>+Cs!G89+Fin!G89+Rat!G89+MM!G89+Lib!G89+Pry!G89+Hal!G89+Cem!G89+Par!G89+EDv!H66+Str!G89+Ele!G89+Wat!G89+San!G89+Ref!G89</f>
        <v>0</v>
      </c>
      <c r="I48" s="66" t="s">
        <v>2707</v>
      </c>
    </row>
    <row r="49" spans="1:10" x14ac:dyDescent="0.35">
      <c r="A49" s="66" t="s">
        <v>184</v>
      </c>
      <c r="B49" s="66" t="s">
        <v>149</v>
      </c>
      <c r="C49" s="89">
        <f>+Cs!B49+Fin!B49+Rat!B49+MM!B49+Lib!B49+Pry!B49+Hal!B49+Cem!B49+Par!B49+EDv!C31+Str!B49+Ele!B49+Wat!B49+San!B49+Ref!B49</f>
        <v>-2000000</v>
      </c>
      <c r="D49" s="89">
        <f>+Cs!C49+Fin!C49+Rat!C49+MM!C49+Lib!C49+Pry!C49+Hal!C49+Cem!C49+Par!C49+EDv!D31+Str!C49+Ele!C49+Wat!C49+San!C49+Ref!C49</f>
        <v>-2000000</v>
      </c>
      <c r="E49" s="89">
        <f>+Cs!D49+Fin!D49+Rat!D49+MM!D49+Lib!D49+Pry!D49+Hal!D49+Cem!D49+Par!D49+EDv!E31+Str!D49+Ele!D49+Wat!D49+San!D49+Ref!D49</f>
        <v>-2000000</v>
      </c>
      <c r="F49" s="89">
        <f>+Cs!E49+Fin!E49+Rat!E49+MM!E49+Lib!E49+Pry!E49+Hal!E49+Cem!E49+Par!E49+EDv!F31+Str!E49+Ele!E49+Wat!E49+San!E49+Ref!E49</f>
        <v>0</v>
      </c>
      <c r="G49" s="89">
        <f>+Cs!F49+Fin!F49+Rat!F49+MM!F49+Lib!F49+Pry!F49+Hal!F49+Cem!F49+Par!F49+EDv!G31+Str!F49+Ele!F49+Wat!F49+San!F49+Ref!F49</f>
        <v>-2000000</v>
      </c>
      <c r="H49" s="89">
        <f>+Cs!G49+Fin!G49+Rat!G49+MM!G49+Lib!G49+Pry!G49+Hal!G49+Cem!G49+Par!G49+EDv!H31+Str!G49+Ele!G49+Wat!G49+San!G49+Ref!G49</f>
        <v>-2000000</v>
      </c>
      <c r="I49" s="66" t="s">
        <v>2706</v>
      </c>
    </row>
    <row r="50" spans="1:10" x14ac:dyDescent="0.35">
      <c r="A50" s="66" t="s">
        <v>187</v>
      </c>
      <c r="B50" s="66" t="s">
        <v>147</v>
      </c>
      <c r="C50" s="89">
        <f>+Cs!B48+Fin!B48+Rat!B48+MM!B48+Lib!B48+Pry!B48+Hal!B48+Cem!B48+Par!B48+EDv!C30+Str!B48+Ele!B48+Wat!B48+San!B48+Ref!B48</f>
        <v>-18200</v>
      </c>
      <c r="D50" s="89">
        <f>+Cs!C48+Fin!C48+Rat!C48+MM!C48+Lib!C48+Pry!C48+Hal!C48+Cem!C48+Par!C48+EDv!D30+Str!C48+Ele!C48+Wat!C48+San!C48+Ref!C48</f>
        <v>-18200</v>
      </c>
      <c r="E50" s="89">
        <f>+Cs!D48+Fin!D48+Rat!D48+MM!D48+Lib!D48+Pry!D48+Hal!D48+Cem!D48+Par!D48+EDv!E30+Str!D48+Ele!D48+Wat!D48+San!D48+Ref!D48</f>
        <v>-17134</v>
      </c>
      <c r="F50" s="89">
        <f>+Cs!E48+Fin!E48+Rat!E48+MM!E48+Lib!E48+Pry!E48+Hal!E48+Cem!E48+Par!E48+EDv!F30+Str!E48+Ele!E48+Wat!E48+San!E48+Ref!E48</f>
        <v>-18200</v>
      </c>
      <c r="G50" s="89">
        <f>+Cs!F48+Fin!F48+Rat!F48+MM!F48+Lib!F48+Pry!F48+Hal!F48+Cem!F48+Par!F48+EDv!G30+Str!F48+Ele!F48+Wat!F48+San!F48+Ref!F48</f>
        <v>-19200</v>
      </c>
      <c r="H50" s="89">
        <f>+Cs!G48+Fin!G48+Rat!G48+MM!G48+Lib!G48+Pry!G48+Hal!G48+Cem!G48+Par!G48+EDv!H30+Str!G48+Ele!G48+Wat!G48+San!G48+Ref!G48</f>
        <v>-20300</v>
      </c>
      <c r="I50" s="66" t="s">
        <v>2706</v>
      </c>
    </row>
    <row r="51" spans="1:10" x14ac:dyDescent="0.35">
      <c r="A51" s="66" t="s">
        <v>189</v>
      </c>
      <c r="B51" s="66" t="s">
        <v>128</v>
      </c>
      <c r="C51" s="89">
        <f>+Cs!B28+Fin!B28+Rat!B28+MM!B28+Lib!B28+Pry!B28+Hal!B28+Cem!B28+Par!B28+EDv!C21+Str!B28+Ele!B28+Wat!B28+San!B28+Ref!B28</f>
        <v>-200</v>
      </c>
      <c r="D51" s="89">
        <f>+Cs!C28+Fin!C28+Rat!C28+MM!C28+Lib!C28+Pry!C28+Hal!C28+Cem!C28+Par!C28+EDv!D21+Str!C28+Ele!C28+Wat!C28+San!C28+Ref!C28</f>
        <v>-200</v>
      </c>
      <c r="E51" s="89">
        <f>+Cs!D28+Fin!D28+Rat!D28+MM!D28+Lib!D28+Pry!D28+Hal!D28+Cem!D28+Par!D28+EDv!E21+Str!D28+Ele!D28+Wat!D28+San!D28+Ref!D28</f>
        <v>-149</v>
      </c>
      <c r="F51" s="89">
        <f>+Cs!E28+Fin!E28+Rat!E28+MM!E28+Lib!E28+Pry!E28+Hal!E28+Cem!E28+Par!E28+EDv!F21+Str!E28+Ele!E28+Wat!E28+San!E28+Ref!E28</f>
        <v>-200</v>
      </c>
      <c r="G51" s="89">
        <f>+Cs!F28+Fin!F28+Rat!F28+MM!F28+Lib!F28+Pry!F28+Hal!F28+Cem!F28+Par!F28+EDv!G21+Str!F28+Ele!F28+Wat!F28+San!F28+Ref!F28</f>
        <v>-200</v>
      </c>
      <c r="H51" s="89">
        <f>+Cs!G28+Fin!G28+Rat!G28+MM!G28+Lib!G28+Pry!G28+Hal!G28+Cem!G28+Par!G28+EDv!H21+Str!G28+Ele!G28+Wat!G28+San!G28+Ref!G28</f>
        <v>-400</v>
      </c>
      <c r="I51" s="66" t="s">
        <v>2707</v>
      </c>
    </row>
    <row r="52" spans="1:10" x14ac:dyDescent="0.35">
      <c r="A52" s="66" t="s">
        <v>276</v>
      </c>
      <c r="B52" s="66" t="s">
        <v>10</v>
      </c>
      <c r="C52" s="89">
        <f>+Cs!B11+Fin!B11+Rat!B11+MM!B11+Lib!B11+Pry!B11+Hal!B11+Cem!B11+Par!B11+EDv!C9+Str!B11+Ele!B11+Wat!B11+San!B11+Ref!B11</f>
        <v>-180000</v>
      </c>
      <c r="D52" s="89">
        <f>+Cs!C11+Fin!C11+Rat!C11+MM!C11+Lib!C11+Pry!C11+Hal!C11+Cem!C11+Par!C11+EDv!D9+Str!C11+Ele!C11+Wat!C11+San!C11+Ref!C11</f>
        <v>0</v>
      </c>
      <c r="E52" s="89">
        <f>+Cs!D11+Fin!D11+Rat!D11+MM!D11+Lib!D11+Pry!D11+Hal!D11+Cem!D11+Par!D11+EDv!E9+Str!D11+Ele!D11+Wat!D11+San!D11+Ref!D11</f>
        <v>-175000</v>
      </c>
      <c r="F52" s="89">
        <f>+Cs!E11+Fin!E11+Rat!E11+MM!E11+Lib!E11+Pry!E11+Hal!E11+Cem!E11+Par!E11+EDv!F9+Str!E11+Ele!E11+Wat!E11+San!E11+Ref!E11</f>
        <v>-180000</v>
      </c>
      <c r="G52" s="89">
        <f>+Cs!F11+Fin!F11+Rat!F11+MM!F11+Lib!F11+Pry!F11+Hal!F11+Cem!F11+Par!F11+EDv!G9+Str!F11+Ele!F11+Wat!F11+San!F11+Ref!F11</f>
        <v>-50000</v>
      </c>
      <c r="H52" s="89">
        <f>+Cs!G11+Fin!G11+Rat!G11+MM!G11+Lib!G11+Pry!G11+Hal!G11+Cem!G11+Par!G11+EDv!H9+Str!G11+Ele!G11+Wat!G11+San!G11+Ref!G11</f>
        <v>-50000</v>
      </c>
      <c r="I52" s="66" t="s">
        <v>2707</v>
      </c>
    </row>
    <row r="53" spans="1:10" x14ac:dyDescent="0.35">
      <c r="A53" s="66" t="s">
        <v>278</v>
      </c>
      <c r="B53" s="66" t="s">
        <v>143</v>
      </c>
      <c r="C53" s="89">
        <f>+Cs!B42+Fin!B42+Rat!B42+MM!B42+Lib!B42+Pry!B42+Hal!B42+Cem!B42+Par!B42+EDv!C28+Str!B42+Ele!B42+Wat!B42+San!B42+Ref!B42</f>
        <v>1179300</v>
      </c>
      <c r="D53" s="89">
        <f>+Cs!C42+Fin!C42+Rat!C42+MM!C42+Lib!C42+Pry!C42+Hal!C42+Cem!C42+Par!C42+EDv!D28+Str!C42+Ele!C42+Wat!C42+San!C42+Ref!C42</f>
        <v>1179300</v>
      </c>
      <c r="E53" s="89">
        <f>+Cs!D42+Fin!D42+Rat!D42+MM!D42+Lib!D42+Pry!D42+Hal!D42+Cem!D42+Par!D42+EDv!E28+Str!D42+Ele!D42+Wat!D42+San!D42+Ref!D42</f>
        <v>1201973.82</v>
      </c>
      <c r="F53" s="89">
        <f>+Cs!E42+Fin!E42+Rat!E42+MM!E42+Lib!E42+Pry!E42+Hal!E42+Cem!E42+Par!E42+EDv!F28+Str!E42+Ele!E42+Wat!E42+San!E42+Ref!E42</f>
        <v>1256100</v>
      </c>
      <c r="G53" s="89">
        <f>+Cs!F42+Fin!F42+Rat!F42+MM!F42+Lib!F42+Pry!F42+Hal!F42+Cem!F42+Par!F42+EDv!G28+Str!F42+Ele!F42+Wat!F42+San!F42+Ref!F42</f>
        <v>1313900</v>
      </c>
      <c r="H53" s="89">
        <f>+Cs!G42+Fin!G42+Rat!G42+MM!G42+Lib!G42+Pry!G42+Hal!G42+Cem!G42+Par!G42+EDv!H28+Str!G42+Ele!G42+Wat!G42+San!G42+Ref!G42</f>
        <v>1374400</v>
      </c>
      <c r="I53" s="66" t="s">
        <v>2706</v>
      </c>
    </row>
    <row r="54" spans="1:10" x14ac:dyDescent="0.35">
      <c r="A54" s="66" t="s">
        <v>280</v>
      </c>
      <c r="B54" s="66" t="s">
        <v>163</v>
      </c>
      <c r="C54" s="89">
        <f>+Cs!B58+Fin!B58+Rat!B58+MM!B58+Lib!B58+Pry!B58+Hal!B58+Cem!B58+Par!B58+EDv!C38+Str!B58+Ele!B58+Wat!B58+San!B58+Ref!B58</f>
        <v>-1600</v>
      </c>
      <c r="D54" s="89">
        <f>+Cs!C58+Fin!C58+Rat!C58+MM!C58+Lib!C58+Pry!C58+Hal!C58+Cem!C58+Par!C58+EDv!D38+Str!C58+Ele!C58+Wat!C58+San!C58+Ref!C58</f>
        <v>-1600</v>
      </c>
      <c r="E54" s="89">
        <f>+Cs!D58+Fin!D58+Rat!D58+MM!D58+Lib!D58+Pry!D58+Hal!D58+Cem!D58+Par!D58+EDv!E38+Str!D58+Ele!D58+Wat!D58+San!D58+Ref!D58</f>
        <v>-900</v>
      </c>
      <c r="F54" s="89">
        <f>+Cs!E58+Fin!E58+Rat!E58+MM!E58+Lib!E58+Pry!E58+Hal!E58+Cem!E58+Par!E58+EDv!F38+Str!E58+Ele!E58+Wat!E58+San!E58+Ref!E58</f>
        <v>-1700</v>
      </c>
      <c r="G54" s="89">
        <f>+Cs!F58+Fin!F58+Rat!F58+MM!F58+Lib!F58+Pry!F58+Hal!F58+Cem!F58+Par!F58+EDv!G38+Str!F58+Ele!F58+Wat!F58+San!F58+Ref!F58</f>
        <v>-1800</v>
      </c>
      <c r="H54" s="89">
        <f>+Cs!G58+Fin!G58+Rat!G58+MM!G58+Lib!G58+Pry!G58+Hal!G58+Cem!G58+Par!G58+EDv!H38+Str!G58+Ele!G58+Wat!G58+San!G58+Ref!G58</f>
        <v>-1800</v>
      </c>
      <c r="I54" s="66" t="s">
        <v>2714</v>
      </c>
    </row>
    <row r="55" spans="1:10" x14ac:dyDescent="0.35">
      <c r="A55" s="66" t="s">
        <v>282</v>
      </c>
      <c r="B55" s="66" t="s">
        <v>2609</v>
      </c>
      <c r="C55" s="89" t="e">
        <f>+Cs!#REF!+Fin!#REF!+Rat!#REF!+MM!#REF!+Lib!#REF!+Pry!#REF!+Hal!#REF!+Cem!#REF!+Par!#REF!+EDv!C37+Str!#REF!+Ele!#REF!+Wat!#REF!+San!#REF!+Ref!#REF!</f>
        <v>#REF!</v>
      </c>
      <c r="D55" s="89" t="e">
        <f>+Cs!#REF!+Fin!#REF!+Rat!#REF!+MM!#REF!+Lib!#REF!+Pry!#REF!+Hal!#REF!+Cem!#REF!+Par!#REF!+EDv!D37+Str!#REF!+Ele!#REF!+Wat!#REF!+San!#REF!+Ref!#REF!</f>
        <v>#REF!</v>
      </c>
      <c r="E55" s="89" t="e">
        <f>+Cs!#REF!+Fin!#REF!+Rat!#REF!+MM!#REF!+Lib!#REF!+Pry!#REF!+Hal!#REF!+Cem!#REF!+Par!#REF!+EDv!E37+Str!#REF!+Ele!#REF!+Wat!#REF!+San!#REF!+Ref!#REF!</f>
        <v>#REF!</v>
      </c>
      <c r="F55" s="89" t="e">
        <f>+Cs!#REF!+Fin!#REF!+Rat!#REF!+MM!#REF!+Lib!#REF!+Pry!#REF!+Hal!#REF!+Cem!#REF!+Par!#REF!+EDv!F37+Str!#REF!+Ele!#REF!+Wat!#REF!+San!#REF!+Ref!#REF!</f>
        <v>#REF!</v>
      </c>
      <c r="G55" s="89" t="e">
        <f>+Cs!#REF!+Fin!#REF!+Rat!#REF!+MM!#REF!+Lib!#REF!+Pry!#REF!+Hal!#REF!+Cem!#REF!+Par!#REF!+EDv!G37+Str!#REF!+Ele!#REF!+Wat!#REF!+San!#REF!+Ref!#REF!</f>
        <v>#REF!</v>
      </c>
      <c r="H55" s="89" t="e">
        <f>+Cs!#REF!+Fin!#REF!+Rat!#REF!+MM!#REF!+Lib!#REF!+Pry!#REF!+Hal!#REF!+Cem!#REF!+Par!#REF!+EDv!H37+Str!#REF!+Ele!#REF!+Wat!#REF!+San!#REF!+Ref!#REF!</f>
        <v>#REF!</v>
      </c>
      <c r="I55" s="66" t="s">
        <v>2708</v>
      </c>
    </row>
    <row r="56" spans="1:10" x14ac:dyDescent="0.35">
      <c r="A56" s="66" t="s">
        <v>284</v>
      </c>
      <c r="B56" s="66" t="s">
        <v>446</v>
      </c>
      <c r="C56" s="89">
        <f>+Cs!B91+Fin!B91+Rat!B91+MM!B91+Lib!B91+Pry!B91+Hal!B91+Cem!B91+Par!B91+EDv!C68+Str!B91+Ele!B91+Wat!B91+San!B91+Ref!B91</f>
        <v>-50000</v>
      </c>
      <c r="D56" s="89">
        <f>+Cs!C91+Fin!C91+Rat!C91+MM!C91+Lib!C91+Pry!C91+Hal!C91+Cem!C91+Par!C91+EDv!D68+Str!C91+Ele!C91+Wat!C91+San!C91+Ref!C91</f>
        <v>-50000</v>
      </c>
      <c r="E56" s="89">
        <f>+Cs!D91+Fin!D91+Rat!D91+MM!D91+Lib!D91+Pry!D91+Hal!D91+Cem!D91+Par!D91+EDv!E68+Str!D91+Ele!D91+Wat!D91+San!D91+Ref!D91</f>
        <v>-29025</v>
      </c>
      <c r="F56" s="89">
        <f>+Cs!E91+Fin!E91+Rat!E91+MM!E91+Lib!E91+Pry!E91+Hal!E91+Cem!E91+Par!E91+EDv!F68+Str!E91+Ele!E91+Wat!E91+San!E91+Ref!E91</f>
        <v>-35000</v>
      </c>
      <c r="G56" s="89">
        <f>+Cs!F91+Fin!F91+Rat!F91+MM!F91+Lib!F91+Pry!F91+Hal!F91+Cem!F91+Par!F91+EDv!G68+Str!F91+Ele!F91+Wat!F91+San!F91+Ref!F91</f>
        <v>-36600</v>
      </c>
      <c r="H56" s="89">
        <f>+Cs!G91+Fin!G91+Rat!G91+MM!G91+Lib!G91+Pry!G91+Hal!G91+Cem!G91+Par!G91+EDv!H68+Str!G91+Ele!G91+Wat!G91+San!G91+Ref!G91</f>
        <v>-38300</v>
      </c>
      <c r="I56" s="66" t="s">
        <v>2716</v>
      </c>
    </row>
    <row r="57" spans="1:10" x14ac:dyDescent="0.35">
      <c r="A57" s="66" t="s">
        <v>286</v>
      </c>
      <c r="B57" s="66" t="s">
        <v>371</v>
      </c>
      <c r="C57" s="89">
        <f>+Cs!B99+Fin!B99+Rat!B99+MM!B99+Lib!B99+Pry!B99+Hal!B99+Cem!B99+Par!B99+EDv!C74+Str!B99+Ele!B99+Wat!B99+San!B99+Ref!B99</f>
        <v>-1900000</v>
      </c>
      <c r="D57" s="89">
        <f>+Cs!C99+Fin!C99+Rat!C99+MM!C99+Lib!C99+Pry!C99+Hal!C99+Cem!C99+Par!C99+EDv!D74+Str!C99+Ele!C99+Wat!C99+San!C99+Ref!C99</f>
        <v>-1822000</v>
      </c>
      <c r="E57" s="89">
        <f>+Cs!D99+Fin!D99+Rat!D99+MM!D99+Lib!D99+Pry!D99+Hal!D99+Cem!D99+Par!D99+EDv!E74+Str!D99+Ele!D99+Wat!D99+San!D99+Ref!D99</f>
        <v>-1345000</v>
      </c>
      <c r="F57" s="89">
        <f>+Cs!E99+Fin!E99+Rat!E99+MM!E99+Lib!E99+Pry!E99+Hal!E99+Cem!E99+Par!E99+EDv!F74+Str!E99+Ele!E99+Wat!E99+San!E99+Ref!E99</f>
        <v>-1000000</v>
      </c>
      <c r="G57" s="89">
        <f>+Cs!F99+Fin!F99+Rat!F99+MM!F99+Lib!F99+Pry!F99+Hal!F99+Cem!F99+Par!F99+EDv!G74+Str!F99+Ele!F99+Wat!F99+San!F99+Ref!F99</f>
        <v>-1046000</v>
      </c>
      <c r="H57" s="89">
        <f>+Cs!G99+Fin!G99+Rat!G99+MM!G99+Lib!G99+Pry!G99+Hal!G99+Cem!G99+Par!G99+EDv!H74+Str!G99+Ele!G99+Wat!G99+San!G99+Ref!G99</f>
        <v>-1095000</v>
      </c>
      <c r="I57" s="66" t="s">
        <v>2707</v>
      </c>
    </row>
    <row r="58" spans="1:10" x14ac:dyDescent="0.35">
      <c r="A58" s="66" t="s">
        <v>288</v>
      </c>
      <c r="B58" s="66" t="s">
        <v>171</v>
      </c>
      <c r="C58" s="89">
        <f>+Cs!B74+Fin!B74+Rat!B74+MM!B74+Lib!B74+Pry!B74+Hal!B74+Cem!B74+Par!B74+EDv!C42+Str!B74+Ele!B74+Wat!B74+San!B74+Ref!B74</f>
        <v>-75000</v>
      </c>
      <c r="D58" s="89">
        <f>+Cs!C74+Fin!C74+Rat!C74+MM!C74+Lib!C74+Pry!C74+Hal!C74+Cem!C74+Par!C74+EDv!D42+Str!C74+Ele!C74+Wat!C74+San!C74+Ref!C74</f>
        <v>-75000</v>
      </c>
      <c r="E58" s="89">
        <f>+Cs!D74+Fin!D74+Rat!D74+MM!D74+Lib!D74+Pry!D74+Hal!D74+Cem!D74+Par!D74+EDv!E42+Str!D74+Ele!D74+Wat!D74+San!D74+Ref!D74</f>
        <v>-26517.33</v>
      </c>
      <c r="F58" s="89">
        <f>+Cs!E74+Fin!E74+Rat!E74+MM!E74+Lib!E74+Pry!E74+Hal!E74+Cem!E74+Par!E74+EDv!F42+Str!E74+Ele!E74+Wat!E74+San!E74+Ref!E74</f>
        <v>-28000</v>
      </c>
      <c r="G58" s="89">
        <f>+Cs!F74+Fin!F74+Rat!F74+MM!F74+Lib!F74+Pry!F74+Hal!F74+Cem!F74+Par!F74+EDv!G42+Str!F74+Ele!F74+Wat!F74+San!F74+Ref!F74</f>
        <v>-29300</v>
      </c>
      <c r="H58" s="89">
        <f>+Cs!G74+Fin!G74+Rat!G74+MM!G74+Lib!G74+Pry!G74+Hal!G74+Cem!G74+Par!G74+EDv!H42+Str!G74+Ele!G74+Wat!G74+San!G74+Ref!G74</f>
        <v>-30700</v>
      </c>
      <c r="I58" s="66" t="s">
        <v>2714</v>
      </c>
    </row>
    <row r="59" spans="1:10" x14ac:dyDescent="0.35">
      <c r="A59" s="66" t="s">
        <v>290</v>
      </c>
      <c r="B59" s="66" t="s">
        <v>145</v>
      </c>
      <c r="C59" s="89">
        <f>+Cs!B44+Fin!B44+Rat!B44+MM!B44+Lib!B44+Pry!B44+Hal!B44+Cem!B44+Par!B44+EDv!C29+Str!B44+Ele!B44+Wat!B44+San!B44+Ref!B44</f>
        <v>1056700</v>
      </c>
      <c r="D59" s="89">
        <f>+Cs!C44+Fin!C44+Rat!C44+MM!C44+Lib!C44+Pry!C44+Hal!C44+Cem!C44+Par!C44+EDv!D29+Str!C44+Ele!C44+Wat!C44+San!C44+Ref!C44</f>
        <v>1056700</v>
      </c>
      <c r="E59" s="89">
        <f>+Cs!D44+Fin!D44+Rat!D44+MM!D44+Lib!D44+Pry!D44+Hal!D44+Cem!D44+Par!D44+EDv!E29+Str!D44+Ele!D44+Wat!D44+San!D44+Ref!D44</f>
        <v>1651349.48</v>
      </c>
      <c r="F59" s="89">
        <f>+Cs!E44+Fin!E44+Rat!E44+MM!E44+Lib!E44+Pry!E44+Hal!E44+Cem!E44+Par!E44+EDv!F29+Str!E44+Ele!E44+Wat!E44+San!E44+Ref!E44</f>
        <v>1775300</v>
      </c>
      <c r="G59" s="89">
        <f>+Cs!F44+Fin!F44+Rat!F44+MM!F44+Lib!F44+Pry!F44+Hal!F44+Cem!F44+Par!F44+EDv!G29+Str!F44+Ele!F44+Wat!F44+San!F44+Ref!F44</f>
        <v>1857000</v>
      </c>
      <c r="H59" s="89">
        <f>+Cs!G44+Fin!G44+Rat!G44+MM!G44+Lib!G44+Pry!G44+Hal!G44+Cem!G44+Par!G44+EDv!H29+Str!G44+Ele!G44+Wat!G44+San!G44+Ref!G44</f>
        <v>1942500</v>
      </c>
      <c r="I59" s="66" t="s">
        <v>2713</v>
      </c>
      <c r="J59" s="30"/>
    </row>
    <row r="60" spans="1:10" x14ac:dyDescent="0.35">
      <c r="A60" s="66" t="s">
        <v>292</v>
      </c>
      <c r="B60" s="66" t="s">
        <v>153</v>
      </c>
      <c r="C60" s="89">
        <f>+Cs!B50+Fin!B50+Rat!B50+MM!B50+Lib!B50+Pry!B50+Hal!B50+Cem!B50+Par!B50+EDv!C33+Str!B50+Ele!B50+Wat!B50+San!B50+Ref!B50</f>
        <v>-399700</v>
      </c>
      <c r="D60" s="89">
        <f>+Cs!C50+Fin!C50+Rat!C50+MM!C50+Lib!C50+Pry!C50+Hal!C50+Cem!C50+Par!C50+EDv!D33+Str!C50+Ele!C50+Wat!C50+San!C50+Ref!C50</f>
        <v>-399700</v>
      </c>
      <c r="E60" s="89">
        <f>+Cs!D50+Fin!D50+Rat!D50+MM!D50+Lib!D50+Pry!D50+Hal!D50+Cem!D50+Par!D50+EDv!E33+Str!D50+Ele!D50+Wat!D50+San!D50+Ref!D50</f>
        <v>-141948.09</v>
      </c>
      <c r="F60" s="89">
        <f>+Cs!E50+Fin!E50+Rat!E50+MM!E50+Lib!E50+Pry!E50+Hal!E50+Cem!E50+Par!E50+EDv!F33+Str!E50+Ele!E50+Wat!E50+San!E50+Ref!E50</f>
        <v>-148400</v>
      </c>
      <c r="G60" s="89">
        <f>+Cs!F50+Fin!F50+Rat!F50+MM!F50+Lib!F50+Pry!F50+Hal!F50+Cem!F50+Par!F50+EDv!G33+Str!F50+Ele!F50+Wat!F50+San!F50+Ref!F50</f>
        <v>-155300</v>
      </c>
      <c r="H60" s="89">
        <f>+Cs!G50+Fin!G50+Rat!G50+MM!G50+Lib!G50+Pry!G50+Hal!G50+Cem!G50+Par!G50+EDv!H33+Str!G50+Ele!G50+Wat!G50+San!G50+Ref!G50</f>
        <v>-162500</v>
      </c>
      <c r="I60" s="66" t="s">
        <v>2713</v>
      </c>
      <c r="J60" s="30"/>
    </row>
    <row r="61" spans="1:10" x14ac:dyDescent="0.35">
      <c r="A61" s="66" t="s">
        <v>314</v>
      </c>
      <c r="B61" s="66" t="s">
        <v>151</v>
      </c>
      <c r="C61" s="89" t="e">
        <f>+Cs!#REF!+Fin!#REF!+Rat!#REF!+MM!#REF!+Lib!#REF!+Pry!#REF!+Hal!#REF!+Cem!#REF!+Par!#REF!+EDv!C32+Str!#REF!+Ele!#REF!+Wat!#REF!+San!#REF!+Ref!#REF!</f>
        <v>#REF!</v>
      </c>
      <c r="D61" s="89" t="e">
        <f>+Cs!#REF!+Fin!#REF!+Rat!#REF!+MM!#REF!+Lib!#REF!+Pry!#REF!+Hal!#REF!+Cem!#REF!+Par!#REF!+EDv!D32+Str!#REF!+Ele!#REF!+Wat!#REF!+San!#REF!+Ref!#REF!</f>
        <v>#REF!</v>
      </c>
      <c r="E61" s="89" t="e">
        <f>+Cs!#REF!+Fin!#REF!+Rat!#REF!+MM!#REF!+Lib!#REF!+Pry!#REF!+Hal!#REF!+Cem!#REF!+Par!#REF!+EDv!E32+Str!#REF!+Ele!#REF!+Wat!#REF!+San!#REF!+Ref!#REF!</f>
        <v>#REF!</v>
      </c>
      <c r="F61" s="89" t="e">
        <f>+Cs!#REF!+Fin!#REF!+Rat!#REF!+MM!#REF!+Lib!#REF!+Pry!#REF!+Hal!#REF!+Cem!#REF!+Par!#REF!+EDv!F32+Str!#REF!+Ele!#REF!+Wat!#REF!+San!#REF!+Ref!#REF!</f>
        <v>#REF!</v>
      </c>
      <c r="G61" s="89" t="e">
        <f>+Cs!#REF!+Fin!#REF!+Rat!#REF!+MM!#REF!+Lib!#REF!+Pry!#REF!+Hal!#REF!+Cem!#REF!+Par!#REF!+EDv!G32+Str!#REF!+Ele!#REF!+Wat!#REF!+San!#REF!+Ref!#REF!</f>
        <v>#REF!</v>
      </c>
      <c r="H61" s="89" t="e">
        <f>+Cs!#REF!+Fin!#REF!+Rat!#REF!+MM!#REF!+Lib!#REF!+Pry!#REF!+Hal!#REF!+Cem!#REF!+Par!#REF!+EDv!H32+Str!#REF!+Ele!#REF!+Wat!#REF!+San!#REF!+Ref!#REF!</f>
        <v>#REF!</v>
      </c>
      <c r="I61" s="66" t="s">
        <v>2713</v>
      </c>
      <c r="J61" s="30"/>
    </row>
    <row r="62" spans="1:10" x14ac:dyDescent="0.35">
      <c r="A62" s="66" t="s">
        <v>316</v>
      </c>
      <c r="B62" s="66" t="s">
        <v>141</v>
      </c>
      <c r="C62" s="89">
        <f>+Cs!B40+Fin!B40+Rat!B40+MM!B40+Lib!B40+Pry!B40+Hal!B40+Cem!B40+Par!B40+EDv!C27+Str!B40+Ele!B40+Wat!B40+San!B40+Ref!B40</f>
        <v>1082500</v>
      </c>
      <c r="D62" s="89">
        <f>+Cs!C40+Fin!C40+Rat!C40+MM!C40+Lib!C40+Pry!C40+Hal!C40+Cem!C40+Par!C40+EDv!D27+Str!C40+Ele!C40+Wat!C40+San!C40+Ref!C40</f>
        <v>1082500</v>
      </c>
      <c r="E62" s="89">
        <f>+Cs!D40+Fin!D40+Rat!D40+MM!D40+Lib!D40+Pry!D40+Hal!D40+Cem!D40+Par!D40+EDv!E27+Str!D40+Ele!D40+Wat!D40+San!D40+Ref!D40</f>
        <v>1151560.8500000001</v>
      </c>
      <c r="F62" s="89">
        <f>+Cs!E40+Fin!E40+Rat!E40+MM!E40+Lib!E40+Pry!E40+Hal!E40+Cem!E40+Par!E40+EDv!F27+Str!E40+Ele!E40+Wat!E40+San!E40+Ref!E40</f>
        <v>1203400</v>
      </c>
      <c r="G62" s="89">
        <f>+Cs!F40+Fin!F40+Rat!F40+MM!F40+Lib!F40+Pry!F40+Hal!F40+Cem!F40+Par!F40+EDv!G27+Str!F40+Ele!F40+Wat!F40+San!F40+Ref!F40</f>
        <v>1258800</v>
      </c>
      <c r="H62" s="89">
        <f>+Cs!G40+Fin!G40+Rat!G40+MM!G40+Lib!G40+Pry!G40+Hal!G40+Cem!G40+Par!G40+EDv!H27+Str!G40+Ele!G40+Wat!G40+San!G40+Ref!G40</f>
        <v>1316800</v>
      </c>
      <c r="I62" s="66" t="s">
        <v>2707</v>
      </c>
      <c r="J62" s="30"/>
    </row>
    <row r="63" spans="1:10" x14ac:dyDescent="0.35">
      <c r="A63" s="66" t="s">
        <v>383</v>
      </c>
      <c r="B63" s="66" t="s">
        <v>181</v>
      </c>
      <c r="C63" s="89">
        <f>+Cs!B77+Fin!B77+Rat!B77+MM!B77+Lib!B77+Pry!B77+Hal!B77+Cem!B77+Par!B77+EDv!C47+Str!B77+Ele!B77+Wat!B77+San!B77+Ref!B77</f>
        <v>-86000</v>
      </c>
      <c r="D63" s="89">
        <f>+Cs!C77+Fin!C77+Rat!C77+MM!C77+Lib!C77+Pry!C77+Hal!C77+Cem!C77+Par!C77+EDv!D47+Str!C77+Ele!C77+Wat!C77+San!C77+Ref!C77</f>
        <v>0</v>
      </c>
      <c r="E63" s="89">
        <f>+Cs!D77+Fin!D77+Rat!D77+MM!D77+Lib!D77+Pry!D77+Hal!D77+Cem!D77+Par!D77+EDv!E47+Str!D77+Ele!D77+Wat!D77+San!D77+Ref!D77</f>
        <v>-82000</v>
      </c>
      <c r="F63" s="89">
        <f>+Cs!E77+Fin!E77+Rat!E77+MM!E77+Lib!E77+Pry!E77+Hal!E77+Cem!E77+Par!E77+EDv!F47+Str!E77+Ele!E77+Wat!E77+San!E77+Ref!E77</f>
        <v>-92000</v>
      </c>
      <c r="G63" s="89">
        <f>+Cs!F77+Fin!F77+Rat!F77+MM!F77+Lib!F77+Pry!F77+Hal!F77+Cem!F77+Par!F77+EDv!G47+Str!F77+Ele!F77+Wat!F77+San!F77+Ref!F77</f>
        <v>-96300</v>
      </c>
      <c r="H63" s="89">
        <f>+Cs!G77+Fin!G77+Rat!G77+MM!G77+Lib!G77+Pry!G77+Hal!G77+Cem!G77+Par!G77+EDv!H47+Str!G77+Ele!G77+Wat!G77+San!G77+Ref!G77</f>
        <v>-100800</v>
      </c>
      <c r="I63" s="66" t="s">
        <v>2707</v>
      </c>
      <c r="J63" s="30"/>
    </row>
    <row r="64" spans="1:10" x14ac:dyDescent="0.35">
      <c r="A64" s="66" t="s">
        <v>386</v>
      </c>
      <c r="B64" s="66" t="s">
        <v>279</v>
      </c>
      <c r="C64" s="89" t="e">
        <f>+Cs!#REF!+Fin!#REF!+Rat!#REF!+MM!#REF!+Lib!#REF!+Pry!#REF!+Hal!#REF!+Cem!#REF!+Par!#REF!+EDv!C53+Str!#REF!+Ele!#REF!+Wat!#REF!+San!#REF!+Ref!#REF!</f>
        <v>#REF!</v>
      </c>
      <c r="D64" s="89" t="e">
        <f>+Cs!#REF!+Fin!#REF!+Rat!#REF!+MM!#REF!+Lib!#REF!+Pry!#REF!+Hal!#REF!+Cem!#REF!+Par!#REF!+EDv!D53+Str!#REF!+Ele!#REF!+Wat!#REF!+San!#REF!+Ref!#REF!</f>
        <v>#REF!</v>
      </c>
      <c r="E64" s="89" t="e">
        <f>+Cs!#REF!+Fin!#REF!+Rat!#REF!+MM!#REF!+Lib!#REF!+Pry!#REF!+Hal!#REF!+Cem!#REF!+Par!#REF!+EDv!E53+Str!#REF!+Ele!#REF!+Wat!#REF!+San!#REF!+Ref!#REF!</f>
        <v>#REF!</v>
      </c>
      <c r="F64" s="89" t="e">
        <f>+Cs!#REF!+Fin!#REF!+Rat!#REF!+MM!#REF!+Lib!#REF!+Pry!#REF!+Hal!#REF!+Cem!#REF!+Par!#REF!+EDv!F53+Str!#REF!+Ele!#REF!+Wat!#REF!+San!#REF!+Ref!#REF!</f>
        <v>#REF!</v>
      </c>
      <c r="G64" s="89" t="e">
        <f>+Cs!#REF!+Fin!#REF!+Rat!#REF!+MM!#REF!+Lib!#REF!+Pry!#REF!+Hal!#REF!+Cem!#REF!+Par!#REF!+EDv!G53+Str!#REF!+Ele!#REF!+Wat!#REF!+San!#REF!+Ref!#REF!</f>
        <v>#REF!</v>
      </c>
      <c r="H64" s="89" t="e">
        <f>+Cs!#REF!+Fin!#REF!+Rat!#REF!+MM!#REF!+Lib!#REF!+Pry!#REF!+Hal!#REF!+Cem!#REF!+Par!#REF!+EDv!H53+Str!#REF!+Ele!#REF!+Wat!#REF!+San!#REF!+Ref!#REF!</f>
        <v>#REF!</v>
      </c>
      <c r="I64" s="66" t="s">
        <v>2715</v>
      </c>
      <c r="J64" s="30"/>
    </row>
    <row r="65" spans="1:9" x14ac:dyDescent="0.35">
      <c r="A65" s="66" t="s">
        <v>388</v>
      </c>
      <c r="B65" s="66" t="s">
        <v>277</v>
      </c>
      <c r="C65" s="89">
        <f>+Cs!B229+Fin!B229+Rat!B229+MM!B229+Lib!B229+Pry!B228+Hal!B229+Cem!B229+Par!B229+EDv!C52+Str!B229+Ele!B229+Wat!B229+San!B229+Ref!B229</f>
        <v>205000</v>
      </c>
      <c r="D65" s="89">
        <f>+Cs!C229+Fin!C229+Rat!C229+MM!C229+Lib!C229+Pry!C228+Hal!C229+Cem!C229+Par!C229+EDv!D52+Str!C229+Ele!C229+Wat!C229+San!C229+Ref!C229</f>
        <v>205000</v>
      </c>
      <c r="E65" s="89" t="e">
        <f>+Cs!D229+Fin!D229+Rat!D229+MM!D229+Lib!D229+Pry!D228+Hal!D229+Cem!D229+Par!D229+EDv!E52+Str!D229+Ele!D229+Wat!#REF!+San!D229+Ref!D229</f>
        <v>#REF!</v>
      </c>
      <c r="F65" s="89">
        <f>+Cs!E229+Fin!E229+Rat!E229+MM!E229+Lib!E229+Pry!E228+Hal!E229+Cem!E229+Par!E229+EDv!F52+Str!E229+Ele!E229+Wat!D229+San!E229+Ref!E229</f>
        <v>205000</v>
      </c>
      <c r="G65" s="89">
        <f>+Cs!F229+Fin!F229+Rat!F229+MM!F229+Lib!F229+Pry!F228+Hal!F229+Cem!F229+Par!F229+EDv!G52+Str!F229+Ele!F229+Wat!F229+San!F229+Ref!F229</f>
        <v>216300</v>
      </c>
      <c r="H65" s="89">
        <f>+Cs!G229+Fin!G229+Rat!G229+MM!G229+Lib!G229+Pry!G228+Hal!G229+Cem!G229+Par!G229+EDv!H52+Str!G229+Ele!G229+Wat!G229+San!G229+Ref!G229</f>
        <v>205900</v>
      </c>
      <c r="I65" s="66" t="s">
        <v>2715</v>
      </c>
    </row>
    <row r="66" spans="1:9" x14ac:dyDescent="0.35">
      <c r="A66" s="66" t="s">
        <v>390</v>
      </c>
      <c r="B66" s="66" t="s">
        <v>287</v>
      </c>
      <c r="C66" s="89">
        <f>+Cs!B81+Fin!B81+Rat!B81+MM!B81+Lib!B81+Pry!B81+Hal!B81+Cem!B81+Par!B81+EDv!C57+Str!B81+Ele!B81+Wat!B81+San!B81+Ref!B81</f>
        <v>17000</v>
      </c>
      <c r="D66" s="89">
        <f>+Cs!C81+Fin!C81+Rat!C81+MM!C81+Lib!C81+Pry!C81+Hal!C81+Cem!C81+Par!C81+EDv!D57+Str!C81+Ele!C81+Wat!C81+San!C81+Ref!C81</f>
        <v>17000</v>
      </c>
      <c r="E66" s="89">
        <f>+Cs!D81+Fin!D81+Rat!D81+MM!D81+Lib!D81+Pry!D81+Hal!D81+Cem!D81+Par!D81+EDv!E57+Str!D81+Ele!D81+Wat!D81+San!D81+Ref!D81</f>
        <v>5605.91</v>
      </c>
      <c r="F66" s="89">
        <f>+Cs!E81+Fin!E81+Rat!E81+MM!E81+Lib!E81+Pry!E81+Hal!E81+Cem!E81+Par!E81+EDv!F57+Str!E81+Ele!E81+Wat!E81+San!E81+Ref!E81</f>
        <v>5900</v>
      </c>
      <c r="G66" s="89">
        <f>+Cs!F81+Fin!F81+Rat!F81+MM!F81+Lib!F81+Pry!F81+Hal!F81+Cem!F81+Par!F81+EDv!G57+Str!F81+Ele!F81+Wat!F81+San!F81+Ref!F81</f>
        <v>6200</v>
      </c>
      <c r="H66" s="89">
        <f>+Cs!G81+Fin!G81+Rat!G81+MM!G81+Lib!G81+Pry!G81+Hal!G81+Cem!G81+Par!G81+EDv!H57+Str!G81+Ele!G81+Wat!G81+San!G81+Ref!G81</f>
        <v>6500</v>
      </c>
      <c r="I66" s="66" t="s">
        <v>2715</v>
      </c>
    </row>
    <row r="67" spans="1:9" x14ac:dyDescent="0.35">
      <c r="A67" s="66" t="s">
        <v>423</v>
      </c>
      <c r="B67" s="66" t="s">
        <v>285</v>
      </c>
      <c r="C67" s="89" t="e">
        <f>+Cs!#REF!+Fin!#REF!+Rat!#REF!+MM!#REF!+Lib!#REF!+Pry!#REF!+Hal!B94+Cem!#REF!+Par!#REF!+EDv!C56+Str!#REF!+Ele!#REF!+Wat!#REF!+San!#REF!+Ref!#REF!</f>
        <v>#REF!</v>
      </c>
      <c r="D67" s="89" t="e">
        <f>+Cs!#REF!+Fin!#REF!+Rat!#REF!+MM!#REF!+Lib!#REF!+Pry!#REF!+Hal!C94+Cem!#REF!+Par!#REF!+EDv!D56+Str!#REF!+Ele!#REF!+Wat!#REF!+San!#REF!+Ref!#REF!</f>
        <v>#REF!</v>
      </c>
      <c r="E67" s="89" t="e">
        <f>+Cs!#REF!+Fin!#REF!+Rat!#REF!+MM!#REF!+Lib!#REF!+Pry!#REF!+Hal!D94+Cem!#REF!+Par!#REF!+EDv!E56+Str!#REF!+Ele!#REF!+Wat!#REF!+San!#REF!+Ref!#REF!</f>
        <v>#REF!</v>
      </c>
      <c r="F67" s="89" t="e">
        <f>+Cs!#REF!+Fin!#REF!+Rat!#REF!+MM!#REF!+Lib!#REF!+Pry!#REF!+Hal!#REF!+Cem!#REF!+Par!#REF!+EDv!F56+Str!#REF!+Ele!#REF!+Wat!#REF!+San!#REF!+Ref!#REF!</f>
        <v>#REF!</v>
      </c>
      <c r="G67" s="89" t="e">
        <f>+Cs!#REF!+Fin!#REF!+Rat!#REF!+MM!#REF!+Lib!#REF!+Pry!#REF!+Hal!#REF!+Cem!#REF!+Par!#REF!+EDv!G56+Str!#REF!+Ele!#REF!+Wat!#REF!+San!#REF!+Ref!#REF!</f>
        <v>#REF!</v>
      </c>
      <c r="H67" s="89" t="e">
        <f>+Cs!#REF!+Fin!#REF!+Rat!#REF!+MM!#REF!+Lib!#REF!+Pry!#REF!+Hal!#REF!+Cem!#REF!+Par!#REF!+EDv!H56+Str!#REF!+Ele!#REF!+Wat!#REF!+San!#REF!+Ref!#REF!</f>
        <v>#REF!</v>
      </c>
      <c r="I67" s="66" t="s">
        <v>2715</v>
      </c>
    </row>
    <row r="68" spans="1:9" x14ac:dyDescent="0.35">
      <c r="A68" s="66" t="s">
        <v>445</v>
      </c>
      <c r="B68" s="66" t="s">
        <v>281</v>
      </c>
      <c r="C68" s="89">
        <f>+Cs!B79+Fin!B79+Rat!B79+MM!B79+Lib!B79+Pry!B79+Hal!B79+Cem!B79+Par!B79+EDv!C54+Str!B79+Ele!B79+Wat!B79+San!B79+Ref!B79</f>
        <v>0</v>
      </c>
      <c r="D68" s="89">
        <f>+Cs!C79+Fin!C79+Rat!C79+MM!C79+Lib!C79+Pry!C79+Hal!C79+Cem!C79+Par!C79+EDv!D54+Str!C79+Ele!C79+Wat!C79+San!C79+Ref!C79</f>
        <v>0</v>
      </c>
      <c r="E68" s="89">
        <f>+Cs!D79+Fin!D79+Rat!D79+MM!D79+Lib!D79+Pry!D79+Hal!D79+Cem!D79+Par!D79+EDv!E54+Str!D79+Ele!D79+Wat!D79+San!D79+Ref!D79</f>
        <v>0</v>
      </c>
      <c r="F68" s="89">
        <f>+Cs!E79+Fin!E79+Rat!E79+MM!E79+Lib!E79+Pry!E79+Hal!E79+Cem!E79+Par!E79+EDv!F54+Str!E79+Ele!E79+Wat!E79+San!E79+Ref!E79</f>
        <v>0</v>
      </c>
      <c r="G68" s="89">
        <f>+Cs!F79+Fin!F79+Rat!F79+MM!F79+Lib!F79+Pry!F79+Hal!F79+Cem!F79+Par!F79+EDv!G54+Str!F79+Ele!F79+Wat!F79+San!F79+Ref!F79</f>
        <v>0</v>
      </c>
      <c r="H68" s="89">
        <f>+Cs!G79+Fin!G79+Rat!G79+MM!G79+Lib!G79+Pry!G79+Hal!G79+Cem!G79+Par!G79+EDv!H54+Str!G79+Ele!G79+Wat!G79+San!G79+Ref!G79</f>
        <v>0</v>
      </c>
      <c r="I68" s="66" t="s">
        <v>2747</v>
      </c>
    </row>
    <row r="69" spans="1:9" x14ac:dyDescent="0.35">
      <c r="A69" s="66" t="s">
        <v>447</v>
      </c>
      <c r="B69" s="66" t="s">
        <v>281</v>
      </c>
      <c r="C69" s="89">
        <f>+Cs!B96+Fin!B96+Rat!B96+MM!B96+Lib!B96+Pry!B96+Hal!B96+Cem!B96+Par!B96+EDv!C73+Str!B96+Ele!B96+Wat!B96+San!B96+Ref!B96</f>
        <v>-4350200</v>
      </c>
      <c r="D69" s="89">
        <f>+Cs!C96+Fin!C96+Rat!C96+MM!C96+Lib!C96+Pry!C96+Hal!C96+Cem!C96+Par!C96+EDv!D73+Str!C96+Ele!C96+Wat!C96+San!C96+Ref!C96</f>
        <v>-4400200</v>
      </c>
      <c r="E69" s="89">
        <f>+Cs!D96+Fin!D96+Rat!D96+MM!D96+Lib!D96+Pry!D96+Hal!D96+Cem!D96+Par!D96+EDv!E73+Str!D96+Ele!D96+Wat!D96+San!D96+Ref!D96</f>
        <v>-3970222.65</v>
      </c>
      <c r="F69" s="89">
        <f>+Cs!E96+Fin!E96+Rat!E96+MM!E96+Lib!E96+Pry!E96+Hal!E96+Cem!E96+Par!E96+EDv!F73+Str!E96+Ele!E96+Wat!E96+San!E96+Ref!E96</f>
        <v>-4105900</v>
      </c>
      <c r="G69" s="89">
        <f>+Cs!F96+Fin!F96+Rat!F96+MM!F96+Lib!F96+Pry!F96+Hal!F96+Cem!F96+Par!F96+EDv!G73+Str!F96+Ele!F96+Wat!F96+San!F96+Ref!F96</f>
        <v>-4339800</v>
      </c>
      <c r="H69" s="89">
        <f>+Cs!G96+Fin!G96+Rat!G96+MM!G96+Lib!G96+Pry!G96+Hal!G96+Cem!G96+Par!G96+EDv!H73+Str!G96+Ele!G96+Wat!G96+San!G96+Ref!G96</f>
        <v>-4539500</v>
      </c>
      <c r="I69" s="66" t="s">
        <v>2707</v>
      </c>
    </row>
    <row r="70" spans="1:9" x14ac:dyDescent="0.35">
      <c r="A70" s="66" t="s">
        <v>512</v>
      </c>
      <c r="B70" s="66" t="s">
        <v>283</v>
      </c>
      <c r="C70" s="89">
        <f>+Cs!B80+Fin!B80+Rat!B80+MM!B80+Lib!B80+Pry!B80+Hal!B80+Cem!B80+Par!B80+EDv!C55+Str!B80+Ele!B80+Wat!B80+San!B80+Ref!B80</f>
        <v>-8728400</v>
      </c>
      <c r="D70" s="89">
        <f>+Cs!C80+Fin!C80+Rat!C80+MM!C80+Lib!C80+Pry!C80+Hal!C80+Cem!C80+Par!C80+EDv!D55+Str!C80+Ele!C80+Wat!C80+San!C80+Ref!C80</f>
        <v>-8728400</v>
      </c>
      <c r="E70" s="89">
        <f>+Cs!D80+Fin!D80+Rat!D80+MM!D80+Lib!D80+Pry!D80+Hal!D80+Cem!D80+Par!D80+EDv!E55+Str!D80+Ele!D80+Wat!D80+San!D80+Ref!D80</f>
        <v>-8924828.1799999997</v>
      </c>
      <c r="F70" s="89">
        <f>+Cs!E80+Fin!E80+Rat!E80+MM!E80+Lib!E80+Pry!E80+Hal!E80+Cem!E80+Par!E80+EDv!F55+Str!E80+Ele!E80+Wat!E80+San!E80+Ref!E80</f>
        <v>-9250800</v>
      </c>
      <c r="G70" s="89">
        <f>+Cs!F80+Fin!F80+Rat!F80+MM!F80+Lib!F80+Pry!F80+Hal!F80+Cem!F80+Par!F80+EDv!G55+Str!F80+Ele!F80+Wat!F80+San!F80+Ref!F80</f>
        <v>-9755800</v>
      </c>
      <c r="H70" s="89">
        <f>+Cs!G80+Fin!G80+Rat!G80+MM!G80+Lib!G80+Pry!G80+Hal!G80+Cem!G80+Par!G80+EDv!H55+Str!G80+Ele!G80+Wat!G80+San!G80+Ref!G80</f>
        <v>-10204600</v>
      </c>
      <c r="I70" s="66" t="s">
        <v>2715</v>
      </c>
    </row>
    <row r="71" spans="1:9" x14ac:dyDescent="0.35">
      <c r="A71" s="66" t="s">
        <v>514</v>
      </c>
      <c r="B71" s="66" t="s">
        <v>821</v>
      </c>
      <c r="C71" s="89" t="e">
        <f>+Cs!#REF!+Fin!#REF!+Rat!#REF!+MM!#REF!+Lib!#REF!+Pry!#REF!+Hal!#REF!+Cem!#REF!+Par!#REF!+EDv!C97+Str!#REF!+Ele!#REF!+Wat!#REF!+San!#REF!+Ref!#REF!</f>
        <v>#REF!</v>
      </c>
      <c r="D71" s="66"/>
      <c r="E71" s="66"/>
      <c r="F71" s="89" t="e">
        <f>+Cs!#REF!+Fin!#REF!+Rat!#REF!+MM!#REF!+Lib!#REF!+Pry!#REF!+Hal!#REF!+Cem!#REF!+Par!#REF!+EDv!F97+Str!#REF!+Ele!#REF!+Wat!#REF!+San!#REF!+Ref!#REF!</f>
        <v>#REF!</v>
      </c>
      <c r="G71" s="89" t="e">
        <f>+Cs!#REF!+Fin!#REF!+Rat!#REF!+MM!#REF!+Lib!#REF!+Pry!#REF!+Hal!#REF!+Cem!#REF!+Par!#REF!+EDv!G97+Str!#REF!+Ele!#REF!+Wat!#REF!+San!#REF!+Ref!#REF!</f>
        <v>#REF!</v>
      </c>
      <c r="H71" s="89" t="e">
        <f>+Cs!#REF!+Fin!#REF!+Rat!#REF!+MM!#REF!+Lib!#REF!+Pry!#REF!+Hal!#REF!+Cem!#REF!+Par!#REF!+EDv!H97+Str!#REF!+Ele!#REF!+Wat!#REF!+San!#REF!+Ref!#REF!</f>
        <v>#REF!</v>
      </c>
      <c r="I71" s="66" t="s">
        <v>2707</v>
      </c>
    </row>
    <row r="72" spans="1:9" x14ac:dyDescent="0.35">
      <c r="A72" s="66" t="s">
        <v>517</v>
      </c>
      <c r="B72" s="66" t="s">
        <v>811</v>
      </c>
      <c r="C72" s="89">
        <f>+Cs!B118+Fin!B118+Rat!B118+MM!B118+Lib!B118+Pry!B118+Hal!B118+Cem!B118+Par!B118+EDv!C95+Str!B118+Ele!B118+Wat!B118+San!B118+Ref!B118</f>
        <v>-12000</v>
      </c>
      <c r="D72" s="89">
        <f>+Cs!C118+Fin!C118+Rat!C118+MM!C118+Lib!C118+Pry!C118+Hal!C118+Cem!C118+Par!C118+EDv!D95+Str!C118+Ele!C118+Wat!C118+San!C118+Ref!C118</f>
        <v>0</v>
      </c>
      <c r="E72" s="89">
        <f>+Cs!D118+Fin!D118+Rat!D118+MM!D118+Lib!D118+Pry!D118+Hal!D118+Cem!D118+Par!D118+EDv!E95+Str!D118+Ele!D118+Wat!D118+San!D118+Ref!D118</f>
        <v>-6000</v>
      </c>
      <c r="F72" s="89">
        <f>+Cs!E118+Fin!E118+Rat!E118+MM!E118+Lib!E118+Pry!E118+Hal!E118+Cem!E118+Par!E118+EDv!F95+Str!E118+Ele!E118+Wat!E118+San!E118+Ref!E118</f>
        <v>-12000</v>
      </c>
      <c r="G72" s="89">
        <f>+Cs!F118+Fin!F118+Rat!F118+MM!F118+Lib!F118+Pry!F118+Hal!F118+Cem!F118+Par!F118+EDv!G95+Str!F118+Ele!F118+Wat!F118+San!F118+Ref!F118</f>
        <v>-12000</v>
      </c>
      <c r="H72" s="89">
        <f>+Cs!G118+Fin!G118+Rat!G118+MM!G118+Lib!G118+Pry!G118+Hal!G118+Cem!G118+Par!G118+EDv!H95+Str!G118+Ele!G118+Wat!G118+San!G118+Ref!G118</f>
        <v>-12000</v>
      </c>
      <c r="I72" s="66" t="s">
        <v>2720</v>
      </c>
    </row>
    <row r="73" spans="1:9" x14ac:dyDescent="0.35">
      <c r="A73" s="66" t="s">
        <v>579</v>
      </c>
      <c r="B73" s="66" t="s">
        <v>809</v>
      </c>
      <c r="C73" s="89">
        <f>+Cs!B114+Fin!B114+Rat!B114+MM!B114+Lib!B114+Pry!B114+Hal!B114+Cem!B114+Par!B114+EDv!C94+Str!B114+Ele!B114+Wat!B114+San!B114+Ref!B114</f>
        <v>-4700700</v>
      </c>
      <c r="D73" s="89">
        <f>+Cs!C114+Fin!C114+Rat!C114+MM!C114+Lib!C114+Pry!C114+Hal!C114+Cem!C114+Par!C114+EDv!D94+Str!C114+Ele!C114+Wat!C114+San!C114+Ref!C114</f>
        <v>-4555700</v>
      </c>
      <c r="E73" s="89">
        <f>+Cs!D114+Fin!D114+Rat!D114+MM!D114+Lib!D114+Pry!D114+Hal!D114+Cem!D114+Par!D114+EDv!E94+Str!D114+Ele!D114+Wat!D114+San!D114+Ref!D114</f>
        <v>-4565232.8600000003</v>
      </c>
      <c r="F73" s="89">
        <f>+Cs!E114+Fin!E114+Rat!E114+MM!E114+Lib!E114+Pry!E114+Hal!E114+Cem!E114+Par!E114+EDv!F94+Str!E114+Ele!E114+Wat!E114+San!E114+Ref!E114</f>
        <v>-4907700</v>
      </c>
      <c r="G73" s="89">
        <f>+Cs!F114+Fin!F114+Rat!F114+MM!F114+Lib!F114+Pry!F114+Hal!F114+Cem!F114+Par!F114+EDv!G94+Str!F114+Ele!F114+Wat!F114+San!F114+Ref!F114</f>
        <v>-5133500</v>
      </c>
      <c r="H73" s="89">
        <f>+Cs!G114+Fin!G114+Rat!G114+MM!G114+Lib!G114+Pry!G114+Hal!G114+Cem!G114+Par!G114+EDv!H94+Str!G114+Ele!G114+Wat!G114+San!G114+Ref!G114</f>
        <v>-5369700</v>
      </c>
      <c r="I73" s="66" t="s">
        <v>2720</v>
      </c>
    </row>
    <row r="74" spans="1:9" x14ac:dyDescent="0.35">
      <c r="A74" s="66" t="s">
        <v>582</v>
      </c>
      <c r="B74" s="66" t="s">
        <v>159</v>
      </c>
      <c r="C74" s="89" t="e">
        <f>+Cs!#REF!+Fin!#REF!+Rat!#REF!+MM!#REF!+Lib!#REF!+Pry!#REF!+Hal!#REF!+Cem!#REF!+Par!#REF!+EDv!C36+Str!#REF!+Ele!#REF!+Wat!#REF!+San!#REF!+Ref!#REF!</f>
        <v>#REF!</v>
      </c>
      <c r="D74" s="89" t="e">
        <f>+Cs!#REF!+Fin!#REF!+Rat!#REF!+MM!#REF!+Lib!#REF!+Pry!#REF!+Hal!#REF!+Cem!#REF!+Par!#REF!+EDv!D36+Str!#REF!+Ele!#REF!+Wat!#REF!+San!#REF!+Ref!#REF!</f>
        <v>#REF!</v>
      </c>
      <c r="E74" s="89" t="e">
        <f>+Cs!#REF!+Fin!#REF!+Rat!#REF!+MM!#REF!+Lib!#REF!+Pry!#REF!+Hal!#REF!+Cem!#REF!+Par!#REF!+EDv!E36+Str!#REF!+Ele!#REF!+Wat!#REF!+San!#REF!+Ref!#REF!</f>
        <v>#REF!</v>
      </c>
      <c r="F74" s="89" t="e">
        <f>+Cs!#REF!+Fin!#REF!+Rat!#REF!+MM!#REF!+Lib!#REF!+Pry!#REF!+Hal!#REF!+Cem!#REF!+Par!#REF!+EDv!F36+Str!#REF!+Ele!#REF!+Wat!#REF!+San!#REF!+Ref!#REF!</f>
        <v>#REF!</v>
      </c>
      <c r="G74" s="89" t="e">
        <f>+Cs!#REF!+Fin!#REF!+Rat!#REF!+MM!#REF!+Lib!#REF!+Pry!#REF!+Hal!#REF!+Cem!#REF!+Par!#REF!+EDv!G36+Str!#REF!+Ele!#REF!+Wat!#REF!+San!#REF!+Ref!#REF!</f>
        <v>#REF!</v>
      </c>
      <c r="H74" s="89" t="e">
        <f>+Cs!#REF!+Fin!#REF!+Rat!#REF!+MM!#REF!+Lib!#REF!+Pry!#REF!+Hal!#REF!+Cem!#REF!+Par!#REF!+EDv!H36+Str!#REF!+Ele!#REF!+Wat!#REF!+San!#REF!+Ref!#REF!</f>
        <v>#REF!</v>
      </c>
      <c r="I74" s="66" t="s">
        <v>2707</v>
      </c>
    </row>
    <row r="75" spans="1:9" x14ac:dyDescent="0.35">
      <c r="A75" s="66" t="s">
        <v>583</v>
      </c>
      <c r="B75" s="66" t="s">
        <v>185</v>
      </c>
      <c r="C75" s="89" t="e">
        <f>+Cs!#REF!+Fin!#REF!+Rat!#REF!+MM!#REF!+Lib!#REF!+Pry!#REF!+Hal!#REF!+Cem!#REF!+Par!#REF!+EDv!C49+Str!#REF!+Ele!#REF!+Wat!#REF!+San!#REF!+Ref!#REF!</f>
        <v>#REF!</v>
      </c>
      <c r="D75" s="89" t="e">
        <f>+Cs!#REF!+Fin!#REF!+Rat!#REF!+MM!#REF!+Lib!#REF!+Pry!#REF!+Hal!#REF!+Cem!#REF!+Par!#REF!+EDv!D49+Str!#REF!+Ele!#REF!+Wat!#REF!+San!#REF!+Ref!#REF!</f>
        <v>#REF!</v>
      </c>
      <c r="E75" s="89" t="e">
        <f>+Cs!#REF!+Fin!#REF!+Rat!#REF!+MM!#REF!+Lib!#REF!+Pry!#REF!+Hal!#REF!+Cem!#REF!+Par!#REF!+EDv!E49+Str!#REF!+Ele!#REF!+Wat!#REF!+San!#REF!+Ref!#REF!</f>
        <v>#REF!</v>
      </c>
      <c r="F75" s="89" t="e">
        <f>+Cs!#REF!+Fin!#REF!+Rat!#REF!+MM!#REF!+Lib!#REF!+Pry!#REF!+Hal!#REF!+Cem!#REF!+Par!#REF!+EDv!F49+Str!#REF!+Ele!#REF!+Wat!#REF!+San!#REF!+Ref!#REF!</f>
        <v>#REF!</v>
      </c>
      <c r="G75" s="89" t="e">
        <f>+Cs!#REF!+Fin!#REF!+Rat!#REF!+MM!#REF!+Lib!#REF!+Pry!#REF!+Hal!#REF!+Cem!#REF!+Par!#REF!+EDv!G49+Str!#REF!+Ele!#REF!+Wat!#REF!+San!#REF!+Ref!#REF!</f>
        <v>#REF!</v>
      </c>
      <c r="H75" s="89" t="e">
        <f>+Cs!#REF!+Fin!#REF!+Rat!#REF!+MM!#REF!+Lib!#REF!+Pry!#REF!+Hal!#REF!+Cem!#REF!+Par!#REF!+EDv!H49+Str!#REF!+Ele!#REF!+Wat!#REF!+San!#REF!+Ref!#REF!</f>
        <v>#REF!</v>
      </c>
      <c r="I75" s="66" t="s">
        <v>2707</v>
      </c>
    </row>
    <row r="76" spans="1:9" x14ac:dyDescent="0.35">
      <c r="A76" s="66" t="s">
        <v>701</v>
      </c>
      <c r="B76" s="66" t="s">
        <v>2738</v>
      </c>
      <c r="C76" s="89">
        <f>+Cs!B57+Fin!B57+Rat!B57+MM!B57+Lib!B57+Pry!B57+Hal!B57+Cem!B57+Par!B57+EDv!C34+Str!B57+Ele!B57+Wat!B57+San!B57+Ref!B57</f>
        <v>-59000</v>
      </c>
      <c r="D76" s="89">
        <f>+Cs!C57+Fin!C57+Rat!C57+MM!C57+Lib!C57+Pry!C57+Hal!C57+Cem!C57+Par!C57+EDv!D34+Str!C57+Ele!C57+Wat!C57+San!C57+Ref!C57</f>
        <v>-59000</v>
      </c>
      <c r="E76" s="89">
        <f>+Cs!D57+Fin!D57+Rat!D57+MM!D57+Lib!D57+Pry!D57+Hal!D57+Cem!D57+Par!D57+EDv!E34+Str!D57+Ele!D57+Wat!D57+San!D57+Ref!D57</f>
        <v>-26400</v>
      </c>
      <c r="F76" s="89">
        <f>+Cs!E57+Fin!E57+Rat!E57+MM!E57+Lib!E57+Pry!E57+Hal!E57+Cem!E57+Par!E57+EDv!F34+Str!E57+Ele!E57+Wat!E57+San!E57+Ref!E57</f>
        <v>-31000</v>
      </c>
      <c r="G76" s="89">
        <f>+Cs!F57+Fin!F57+Rat!F57+MM!F57+Lib!F57+Pry!F57+Hal!F57+Cem!F57+Par!F57+EDv!G34+Str!F57+Ele!F57+Wat!F57+San!F57+Ref!F57</f>
        <v>-32400</v>
      </c>
      <c r="H76" s="89">
        <f>+Cs!G57+Fin!G57+Rat!G57+MM!G57+Lib!G57+Pry!G57+Hal!G57+Cem!G57+Par!G57+EDv!H34+Str!G57+Ele!G57+Wat!G57+San!G57+Ref!G57</f>
        <v>-33900</v>
      </c>
      <c r="I76" s="66" t="s">
        <v>2707</v>
      </c>
    </row>
    <row r="77" spans="1:9" x14ac:dyDescent="0.35">
      <c r="A77" s="66" t="s">
        <v>703</v>
      </c>
      <c r="B77" s="66" t="s">
        <v>24</v>
      </c>
      <c r="C77" s="89" t="e">
        <f>+Cs!#REF!+Fin!#REF!+Rat!#REF!+MM!#REF!+Lib!#REF!+Pry!#REF!+Hal!#REF!+Cem!#REF!+Par!#REF!+EDv!C15+Str!#REF!+Ele!#REF!+Wat!#REF!+San!#REF!+Ref!#REF!</f>
        <v>#REF!</v>
      </c>
      <c r="D77" s="89" t="e">
        <f>+Cs!#REF!+Fin!#REF!+Rat!#REF!+MM!#REF!+Lib!#REF!+Pry!#REF!+Hal!#REF!+Cem!#REF!+Par!#REF!+EDv!D15+Str!#REF!+Ele!#REF!+Wat!#REF!+San!#REF!+Ref!#REF!</f>
        <v>#REF!</v>
      </c>
      <c r="E77" s="89" t="e">
        <f>+Cs!#REF!+Fin!#REF!+Rat!#REF!+MM!#REF!+Lib!#REF!+Pry!#REF!+Hal!#REF!+Cem!#REF!+Par!#REF!+EDv!E15+Str!#REF!+Ele!#REF!+Wat!#REF!+San!#REF!+Ref!#REF!</f>
        <v>#REF!</v>
      </c>
      <c r="F77" s="89" t="e">
        <f>+Cs!#REF!+Fin!#REF!+Rat!#REF!+MM!#REF!+Lib!#REF!+Pry!#REF!+Hal!#REF!+Cem!#REF!+Par!#REF!+EDv!F15+Str!#REF!+Ele!#REF!+Wat!#REF!+San!#REF!+Ref!#REF!</f>
        <v>#REF!</v>
      </c>
      <c r="G77" s="89" t="e">
        <f>+Cs!#REF!+Fin!#REF!+Rat!#REF!+MM!#REF!+Lib!#REF!+Pry!#REF!+Hal!#REF!+Cem!#REF!+Par!#REF!+EDv!G15+Str!#REF!+Ele!#REF!+Wat!#REF!+San!#REF!+Ref!#REF!</f>
        <v>#REF!</v>
      </c>
      <c r="H77" s="89" t="e">
        <f>+Cs!#REF!+Fin!#REF!+Rat!#REF!+MM!#REF!+Lib!#REF!+Pry!#REF!+Hal!#REF!+Cem!#REF!+Par!#REF!+EDv!H15+Str!#REF!+Ele!#REF!+Wat!#REF!+San!#REF!+Ref!#REF!</f>
        <v>#REF!</v>
      </c>
      <c r="I77" s="66" t="s">
        <v>2707</v>
      </c>
    </row>
    <row r="78" spans="1:9" x14ac:dyDescent="0.35">
      <c r="A78" s="66" t="s">
        <v>705</v>
      </c>
      <c r="B78" s="66" t="s">
        <v>2668</v>
      </c>
      <c r="C78" s="89">
        <f>+Cs!B113+Fin!B113+Rat!B113+MM!B113+Lib!B113+Pry!B113+Hal!B113+Cem!B113+Par!B113+EDv!C93+Str!B113+Ele!B113+Wat!B113+San!B113+Ref!B113</f>
        <v>-3600</v>
      </c>
      <c r="D78" s="89">
        <f>+Cs!C113+Fin!C113+Rat!C113+MM!C113+Lib!C113+Pry!C113+Hal!C113+Cem!C113+Par!C113+EDv!D93+Str!C113+Ele!C113+Wat!C113+San!C113+Ref!C113</f>
        <v>-3600</v>
      </c>
      <c r="E78" s="89">
        <f>+Cs!D113+Fin!D113+Rat!D113+MM!D113+Lib!D113+Pry!D113+Hal!D113+Cem!D113+Par!D113+EDv!E93+Str!D113+Ele!D113+Wat!D113+San!D113+Ref!D113</f>
        <v>-4812.33</v>
      </c>
      <c r="F78" s="89">
        <f>+Cs!E113+Fin!E113+Rat!E113+MM!E113+Lib!E113+Pry!E113+Hal!E113+Cem!E113+Par!E113+EDv!F93+Str!E113+Ele!E113+Wat!E113+San!E113+Ref!E113</f>
        <v>-3600</v>
      </c>
      <c r="G78" s="89">
        <f>+Cs!F113+Fin!F113+Rat!F113+MM!F113+Lib!F113+Pry!F113+Hal!F113+Cem!F113+Par!F113+EDv!G93+Str!F113+Ele!F113+Wat!F113+San!F113+Ref!F113</f>
        <v>-3800</v>
      </c>
      <c r="H78" s="89">
        <f>+Cs!G113+Fin!G113+Rat!G113+MM!G113+Lib!G113+Pry!G113+Hal!G113+Cem!G113+Par!G113+EDv!H93+Str!G113+Ele!G113+Wat!G113+San!G113+Ref!G113</f>
        <v>-4000</v>
      </c>
      <c r="I78" s="66" t="s">
        <v>2707</v>
      </c>
    </row>
    <row r="79" spans="1:9" x14ac:dyDescent="0.35">
      <c r="A79" s="66" t="s">
        <v>707</v>
      </c>
      <c r="B79" s="66" t="s">
        <v>815</v>
      </c>
      <c r="C79" s="89">
        <f>+Cs!B112+Fin!B112+Rat!B112+MM!B112+Lib!B112+Pry!B112+Hal!B112+Cem!B112+Par!B112+EDv!C92+Str!B112+Ele!B112+Wat!B112+San!B112+Ref!B112</f>
        <v>-2000</v>
      </c>
      <c r="D79" s="89">
        <f>+Cs!C112+Fin!C112+Rat!C112+MM!C112+Lib!C112+Pry!C112+Hal!C112+Cem!C112+Par!C112+EDv!D92+Str!C112+Ele!C112+Wat!C112+San!C112+Ref!C112</f>
        <v>-2000</v>
      </c>
      <c r="E79" s="89">
        <f>+Cs!D112+Fin!D112+Rat!D112+MM!D112+Lib!D112+Pry!D112+Hal!D112+Cem!D112+Par!D112+EDv!E92+Str!D112+Ele!D112+Wat!D112+San!D112+Ref!D112</f>
        <v>-450</v>
      </c>
      <c r="F79" s="89">
        <f>+Cs!E112+Fin!E112+Rat!E112+MM!E112+Lib!E112+Pry!E112+Hal!E112+Cem!E112+Par!E112+EDv!F92+Str!E112+Ele!E112+Wat!E112+San!E112+Ref!E112</f>
        <v>-2000</v>
      </c>
      <c r="G79" s="89">
        <f>+Cs!F112+Fin!F112+Rat!F112+MM!F112+Lib!F112+Pry!F112+Hal!F112+Cem!F112+Par!F112+EDv!G92+Str!F112+Ele!F112+Wat!F112+San!F112+Ref!F112</f>
        <v>-2200</v>
      </c>
      <c r="H79" s="89">
        <f>+Cs!G112+Fin!G112+Rat!G112+MM!G112+Lib!G112+Pry!G112+Hal!G112+Cem!G112+Par!G112+EDv!H92+Str!G112+Ele!G112+Wat!G112+San!G112+Ref!G112</f>
        <v>-2400</v>
      </c>
      <c r="I79" s="66" t="s">
        <v>2719</v>
      </c>
    </row>
    <row r="80" spans="1:9" x14ac:dyDescent="0.35">
      <c r="A80" s="66" t="s">
        <v>709</v>
      </c>
      <c r="B80" s="66" t="s">
        <v>813</v>
      </c>
      <c r="C80" s="89">
        <f>+Cs!B111+Fin!B111+Rat!B111+MM!B111+Lib!B111+Pry!B111+Hal!B111+Cem!B111+Par!B111+EDv!C91+Str!B111+Ele!B111+Wat!B111+San!B111+Ref!B111</f>
        <v>0</v>
      </c>
      <c r="D80" s="89">
        <f>+Cs!C111+Fin!C111+Rat!C111+MM!C111+Lib!C111+Pry!C111+Hal!C111+Cem!C111+Par!C111+EDv!D91+Str!C111+Ele!C111+Wat!C111+San!C111+Ref!C111</f>
        <v>0</v>
      </c>
      <c r="E80" s="89">
        <f>+Cs!D111+Fin!D111+Rat!D111+MM!D111+Lib!D111+Pry!D111+Hal!D111+Cem!D111+Par!D111+EDv!E91+Str!D111+Ele!D111+Wat!D111+San!D111+Ref!D111</f>
        <v>0</v>
      </c>
      <c r="F80" s="89">
        <f>+Cs!E111+Fin!E111+Rat!E111+MM!E111+Lib!E111+Pry!E111+Hal!E111+Cem!E111+Par!E111+EDv!F91+Str!E111+Ele!E111+Wat!E111+San!E111+Ref!E111</f>
        <v>0</v>
      </c>
      <c r="G80" s="89">
        <f>+Cs!F111+Fin!F111+Rat!F111+MM!F111+Lib!F111+Pry!F111+Hal!F111+Cem!F111+Par!F111+EDv!G91+Str!F111+Ele!F111+Wat!F111+San!F111+Ref!F111</f>
        <v>-10000000</v>
      </c>
      <c r="H80" s="89">
        <f>+Cs!G111+Fin!G111+Rat!G111+MM!G111+Lib!G111+Pry!G111+Hal!G111+Cem!G111+Par!G111+EDv!H91+Str!G111+Ele!G111+Wat!G111+San!G111+Ref!G111</f>
        <v>0</v>
      </c>
      <c r="I80" s="66" t="s">
        <v>2719</v>
      </c>
    </row>
    <row r="81" spans="1:9" x14ac:dyDescent="0.35">
      <c r="A81" s="66"/>
      <c r="B81" s="66" t="s">
        <v>134</v>
      </c>
      <c r="C81" s="89">
        <f>+Cs!B31+Fin!B31+Rat!B31+MM!B31+Lib!B31+Pry!B31+Hal!B31+Cem!B31+Par!B31+EDv!C24+Str!B31+Ele!B31+Wat!B31+San!B31+Ref!B31</f>
        <v>-17400</v>
      </c>
      <c r="D81" s="89">
        <f>+Cs!C31+Fin!C31+Rat!C31+MM!C31+Lib!C31+Pry!C31+Hal!C31+Cem!C31+Par!C31+EDv!D24+Str!C31+Ele!C31+Wat!C31+San!C31+Ref!C31</f>
        <v>-17400</v>
      </c>
      <c r="E81" s="89">
        <f>+Cs!D31+Fin!D31+Rat!D31+MM!D31+Lib!D31+Pry!D31+Hal!D31+Cem!D31+Par!D31+EDv!E24+Str!D31+Ele!D31+Wat!D31+San!D31+Ref!D31</f>
        <v>-16000</v>
      </c>
      <c r="F81" s="89">
        <f>+Cs!E31+Fin!E31+Rat!E31+MM!E31+Lib!E31+Pry!E31+Hal!E31+Cem!E31+Par!E31+EDv!F24+Str!E31+Ele!E31+Wat!E31+San!E31+Ref!E31</f>
        <v>-17400</v>
      </c>
      <c r="G81" s="89">
        <f>+Cs!F31+Fin!F31+Rat!F31+MM!F31+Lib!F31+Pry!F31+Hal!F31+Cem!F31+Par!F31+EDv!G24+Str!F31+Ele!F31+Wat!F31+San!F31+Ref!F31</f>
        <v>-18400</v>
      </c>
      <c r="H81" s="89">
        <f>+Cs!G31+Fin!G31+Rat!G31+MM!G31+Lib!G31+Pry!G31+Hal!G31+Cem!G31+Par!G31+EDv!H24+Str!G31+Ele!G31+Wat!G31+San!G31+Ref!G31</f>
        <v>-19400</v>
      </c>
      <c r="I81" s="66" t="s">
        <v>2707</v>
      </c>
    </row>
    <row r="82" spans="1:9" x14ac:dyDescent="0.35">
      <c r="A82" s="66"/>
      <c r="B82" s="66" t="s">
        <v>714</v>
      </c>
      <c r="C82" s="89" t="e">
        <f>+Cs!#REF!+Fin!#REF!+Rat!#REF!+MM!#REF!+Lib!#REF!+Pry!#REF!+Hal!#REF!+Cem!#REF!+Par!#REF!+EDv!C83+Str!#REF!+Ele!#REF!+Wat!#REF!+San!#REF!+Ref!#REF!</f>
        <v>#REF!</v>
      </c>
      <c r="D82" s="89" t="e">
        <f>+Cs!#REF!+Fin!#REF!+Rat!#REF!+MM!#REF!+Lib!#REF!+Pry!#REF!+Hal!#REF!+Cem!#REF!+Par!#REF!+EDv!D83+Str!#REF!+Ele!#REF!+Wat!#REF!+San!#REF!+Ref!#REF!</f>
        <v>#REF!</v>
      </c>
      <c r="E82" s="89" t="e">
        <f>+Cs!#REF!+Fin!#REF!+Rat!#REF!+MM!#REF!+Lib!#REF!+Pry!#REF!+Hal!#REF!+Cem!#REF!+Par!#REF!+EDv!E83+Str!#REF!+Ele!#REF!+Wat!#REF!+San!#REF!+Ref!#REF!</f>
        <v>#REF!</v>
      </c>
      <c r="F82" s="89" t="e">
        <f>+Cs!#REF!+Fin!#REF!+Rat!#REF!+MM!#REF!+Lib!#REF!+Pry!#REF!+Hal!#REF!+Cem!#REF!+Par!#REF!+EDv!F83+Str!#REF!+Ele!#REF!+Wat!#REF!+San!#REF!+Ref!#REF!</f>
        <v>#REF!</v>
      </c>
      <c r="G82" s="89" t="e">
        <f>+Cs!#REF!+Fin!#REF!+Rat!#REF!+MM!#REF!+Lib!#REF!+Pry!#REF!+Hal!#REF!+Cem!#REF!+Par!#REF!+EDv!G83+Str!#REF!+Ele!#REF!+Wat!#REF!+San!#REF!+Ref!#REF!</f>
        <v>#REF!</v>
      </c>
      <c r="H82" s="89" t="e">
        <f>+Cs!#REF!+Fin!#REF!+Rat!#REF!+MM!#REF!+Lib!#REF!+Pry!#REF!+Hal!#REF!+Cem!#REF!+Par!#REF!+EDv!H83+Str!#REF!+Ele!#REF!+Wat!#REF!+San!#REF!+Ref!#REF!</f>
        <v>#REF!</v>
      </c>
      <c r="I82" s="66" t="s">
        <v>2707</v>
      </c>
    </row>
    <row r="83" spans="1:9" x14ac:dyDescent="0.35">
      <c r="A83" s="66" t="s">
        <v>713</v>
      </c>
      <c r="B83" s="66" t="s">
        <v>18</v>
      </c>
      <c r="C83" s="89" t="e">
        <f>+Cs!#REF!+Fin!#REF!+Rat!#REF!+MM!#REF!+Lib!#REF!+Pry!#REF!+Hal!#REF!+Cem!#REF!+Par!#REF!+EDv!C13+Str!#REF!+Ele!#REF!+Wat!#REF!+San!#REF!+Ref!#REF!</f>
        <v>#REF!</v>
      </c>
      <c r="D83" s="89" t="e">
        <f>+Cs!#REF!+Fin!#REF!+Rat!#REF!+MM!#REF!+Lib!#REF!+Pry!#REF!+Hal!#REF!+Cem!#REF!+Par!#REF!+EDv!D13+Str!#REF!+Ele!#REF!+Wat!#REF!+San!#REF!+Ref!#REF!</f>
        <v>#REF!</v>
      </c>
      <c r="E83" s="89" t="e">
        <f>+Cs!#REF!+Fin!#REF!+Rat!#REF!+MM!#REF!+Lib!#REF!+Pry!#REF!+Hal!#REF!+Cem!#REF!+Par!#REF!+EDv!E13+Str!#REF!+Ele!#REF!+Wat!#REF!+San!#REF!+Ref!#REF!</f>
        <v>#REF!</v>
      </c>
      <c r="F83" s="89" t="e">
        <f>+Cs!#REF!+Fin!#REF!+Rat!#REF!+MM!#REF!+Lib!#REF!+Pry!#REF!+Hal!#REF!+Cem!#REF!+Par!#REF!+EDv!F13+Str!#REF!+Ele!#REF!+Wat!#REF!+San!#REF!+Ref!#REF!</f>
        <v>#REF!</v>
      </c>
      <c r="G83" s="89" t="e">
        <f>+Cs!#REF!+Fin!#REF!+Rat!#REF!+MM!#REF!+Lib!#REF!+Pry!#REF!+Hal!#REF!+Cem!#REF!+Par!#REF!+EDv!G13+Str!#REF!+Ele!#REF!+Wat!#REF!+San!#REF!+Ref!#REF!</f>
        <v>#REF!</v>
      </c>
      <c r="H83" s="89" t="e">
        <f>+Cs!#REF!+Fin!#REF!+Rat!#REF!+MM!#REF!+Lib!#REF!+Pry!#REF!+Hal!#REF!+Cem!#REF!+Par!#REF!+EDv!H13+Str!#REF!+Ele!#REF!+Wat!#REF!+San!#REF!+Ref!#REF!</f>
        <v>#REF!</v>
      </c>
      <c r="I83" s="66" t="s">
        <v>2707</v>
      </c>
    </row>
    <row r="84" spans="1:9" x14ac:dyDescent="0.35">
      <c r="A84" s="66" t="s">
        <v>763</v>
      </c>
      <c r="B84" s="66" t="s">
        <v>515</v>
      </c>
      <c r="C84" s="89" t="e">
        <f>+Cs!B94+Fin!B94+Rat!B94+MM!B94+Lib!B94+Pry!B94+Hal!#REF!+Cem!B94+Par!B94+EDv!C71+Str!B94+Ele!B94+Wat!B94+San!B94+Ref!B94</f>
        <v>#REF!</v>
      </c>
      <c r="D84" s="89" t="e">
        <f>+Cs!C94+Fin!C94+Rat!C94+MM!C94+Lib!C94+Pry!C94+Hal!#REF!+Cem!C94+Par!C94+EDv!D71+Str!C94+Ele!C94+Wat!C94+San!C94+Ref!C94</f>
        <v>#REF!</v>
      </c>
      <c r="E84" s="89" t="e">
        <f>+Cs!D94+Fin!D94+Rat!D94+MM!D94+Lib!D94+Pry!D94+Hal!#REF!+Cem!D94+Par!D94+EDv!E71+Str!D94+Ele!D94+Wat!D94+San!D94+Ref!D94</f>
        <v>#REF!</v>
      </c>
      <c r="F84" s="89">
        <f>+Cs!E94+Fin!E94+Rat!E94+MM!E94+Lib!E94+Pry!E94+Hal!E94+Cem!E94+Par!E94+EDv!F71+Str!E94+Ele!E94+Wat!E94+San!E94+Ref!E94</f>
        <v>0</v>
      </c>
      <c r="G84" s="89">
        <f>+Cs!F94+Fin!F94+Rat!F94+MM!F94+Lib!F94+Pry!F94+Hal!F94+Cem!F94+Par!F94+EDv!G71+Str!F94+Ele!F94+Wat!F94+San!F94+Ref!F94</f>
        <v>0</v>
      </c>
      <c r="H84" s="89">
        <f>+Cs!G94+Fin!G94+Rat!G94+MM!G94+Lib!G94+Pry!G94+Hal!G94+Cem!G94+Par!G94+EDv!H71+Str!G94+Ele!G94+Wat!G94+San!G94+Ref!G94</f>
        <v>0</v>
      </c>
      <c r="I84" s="66" t="s">
        <v>2716</v>
      </c>
    </row>
    <row r="85" spans="1:9" x14ac:dyDescent="0.35">
      <c r="A85" s="66" t="s">
        <v>765</v>
      </c>
      <c r="B85" s="66" t="s">
        <v>8</v>
      </c>
      <c r="C85" s="89">
        <f>+Cs!B10+Fin!B10+Rat!B10+MM!B10+Lib!B10+Pry!B10+Hal!B10+Cem!B10+Par!B10+EDv!C8+Str!B10+Ele!B10+Wat!B10+San!B10+Ref!B10</f>
        <v>-60000</v>
      </c>
      <c r="D85" s="89">
        <f>+Cs!C10+Fin!C10+Rat!C10+MM!C10+Lib!C10+Pry!C10+Hal!C10+Cem!C10+Par!C10+EDv!D8+Str!C10+Ele!C10+Wat!C10+San!C10+Ref!C10</f>
        <v>0</v>
      </c>
      <c r="E85" s="89">
        <f>+Cs!D10+Fin!D10+Rat!D10+MM!D10+Lib!D10+Pry!D10+Hal!D10+Cem!D10+Par!D10+EDv!E8+Str!D10+Ele!D10+Wat!D10+San!D10+Ref!D10</f>
        <v>-58500</v>
      </c>
      <c r="F85" s="89">
        <f>+Cs!E10+Fin!E10+Rat!E10+MM!E10+Lib!E10+Pry!E10+Hal!E10+Cem!E10+Par!E10+EDv!F8+Str!E10+Ele!E10+Wat!E10+San!E10+Ref!E10</f>
        <v>-60000</v>
      </c>
      <c r="G85" s="89">
        <f>+Cs!F10+Fin!F10+Rat!F10+MM!F10+Lib!F10+Pry!F10+Hal!F10+Cem!F10+Par!F10+EDv!G8+Str!F10+Ele!F10+Wat!F10+San!F10+Ref!F10</f>
        <v>-63299.999999999993</v>
      </c>
      <c r="H85" s="89">
        <f>+Cs!G10+Fin!G10+Rat!G10+MM!G10+Lib!G10+Pry!G10+Hal!G10+Cem!G10+Par!G10+EDv!H8+Str!G10+Ele!G10+Wat!G10+San!G10+Ref!G10</f>
        <v>-66700</v>
      </c>
      <c r="I85" s="66" t="s">
        <v>2707</v>
      </c>
    </row>
    <row r="86" spans="1:9" x14ac:dyDescent="0.35">
      <c r="A86" s="66" t="s">
        <v>767</v>
      </c>
      <c r="B86" s="66" t="s">
        <v>518</v>
      </c>
      <c r="C86" s="89">
        <f>+Cs!B95+Fin!B95+Rat!B95+MM!B95+Lib!B95+Pry!B95+Hal!B95+Cem!B95+Par!B95+EDv!C72+Str!B95+Ele!B95+Wat!B95+San!B95+Ref!B95</f>
        <v>-2000</v>
      </c>
      <c r="D86" s="89">
        <f>+Cs!C95+Fin!C95+Rat!C95+MM!C95+Lib!C95+Pry!C95+Hal!C95+Cem!C95+Par!C95+EDv!D72+Str!C95+Ele!C95+Wat!C95+San!C95+Ref!C95</f>
        <v>-2000</v>
      </c>
      <c r="E86" s="89">
        <f>+Cs!D95+Fin!D95+Rat!D95+MM!D95+Lib!D95+Pry!D95+Hal!D95+Cem!D95+Par!D95+EDv!E72+Str!D95+Ele!D95+Wat!D95+San!D95+Ref!D95</f>
        <v>-800</v>
      </c>
      <c r="F86" s="89">
        <f>+Cs!E95+Fin!E95+Rat!E95+MM!E95+Lib!E95+Pry!E95+Hal!E95+Cem!E95+Par!E95+EDv!F72+Str!E95+Ele!E95+Wat!E95+San!E95+Ref!E95</f>
        <v>-2000</v>
      </c>
      <c r="G86" s="89">
        <f>+Cs!F95+Fin!F95+Rat!F95+MM!F95+Lib!F95+Pry!F95+Hal!F95+Cem!F95+Par!F95+EDv!G72+Str!F95+Ele!F95+Wat!F95+San!F95+Ref!F95</f>
        <v>-2500</v>
      </c>
      <c r="H86" s="89">
        <f>+Cs!G95+Fin!G95+Rat!G95+MM!G95+Lib!G95+Pry!G95+Hal!G95+Cem!G95+Par!G95+EDv!H72+Str!G95+Ele!G95+Wat!G95+San!G95+Ref!G95</f>
        <v>-3000</v>
      </c>
      <c r="I86" s="66" t="s">
        <v>2707</v>
      </c>
    </row>
    <row r="87" spans="1:9" x14ac:dyDescent="0.35">
      <c r="A87" s="66" t="s">
        <v>769</v>
      </c>
      <c r="B87" s="66" t="s">
        <v>179</v>
      </c>
      <c r="C87" s="89">
        <f>+Cs!B76+Fin!B76+Rat!B76+MM!B76+Lib!B76+Pry!B76+Hal!B76+Cem!B76+Par!B76+EDv!C46+Str!B76+Ele!B76+Wat!B76+San!B76+Ref!B76</f>
        <v>-6000</v>
      </c>
      <c r="D87" s="89">
        <f>+Cs!C76+Fin!C76+Rat!C76+MM!C76+Lib!C76+Pry!C76+Hal!C76+Cem!C76+Par!C76+EDv!D46+Str!C76+Ele!C76+Wat!C76+San!C76+Ref!C76</f>
        <v>-6000</v>
      </c>
      <c r="E87" s="89">
        <f>+Cs!D76+Fin!D76+Rat!D76+MM!D76+Lib!D76+Pry!D76+Hal!D76+Cem!D76+Par!D76+EDv!E46+Str!D76+Ele!D76+Wat!D76+San!D76+Ref!D76</f>
        <v>-6000</v>
      </c>
      <c r="F87" s="89">
        <f>+Cs!E76+Fin!E76+Rat!E76+MM!E76+Lib!E76+Pry!E76+Hal!E76+Cem!E76+Par!E76+EDv!F46+Str!E76+Ele!E76+Wat!E76+San!E76+Ref!E76</f>
        <v>-6000</v>
      </c>
      <c r="G87" s="89">
        <f>+Cs!F76+Fin!F76+Rat!F76+MM!F76+Lib!F76+Pry!F76+Hal!F76+Cem!F76+Par!F76+EDv!G46+Str!F76+Ele!F76+Wat!F76+San!F76+Ref!F76</f>
        <v>-6000</v>
      </c>
      <c r="H87" s="89">
        <f>+Cs!G76+Fin!G76+Rat!G76+MM!G76+Lib!G76+Pry!G76+Hal!G76+Cem!G76+Par!G76+EDv!H46+Str!G76+Ele!G76+Wat!G76+San!G76+Ref!G76</f>
        <v>-6000</v>
      </c>
      <c r="I87" s="66" t="s">
        <v>2707</v>
      </c>
    </row>
    <row r="88" spans="1:9" x14ac:dyDescent="0.35">
      <c r="A88" s="66"/>
      <c r="B88" s="66" t="s">
        <v>4</v>
      </c>
      <c r="C88" s="89" t="e">
        <f>+Cs!#REF!+Fin!#REF!+Rat!#REF!+MM!#REF!+Lib!#REF!+Pry!#REF!+Hal!#REF!+Cem!#REF!+Par!#REF!+EDv!C6+Str!#REF!+Ele!#REF!+Wat!#REF!+San!#REF!+Ref!#REF!</f>
        <v>#REF!</v>
      </c>
      <c r="D88" s="89" t="e">
        <f>+Cs!#REF!+Fin!#REF!+Rat!#REF!+MM!#REF!+Lib!#REF!+Pry!#REF!+Hal!#REF!+Cem!#REF!+Par!#REF!+EDv!D6+Str!#REF!+Ele!#REF!+Wat!#REF!+San!#REF!+Ref!#REF!</f>
        <v>#REF!</v>
      </c>
      <c r="E88" s="89" t="e">
        <f>+Cs!#REF!+Fin!#REF!+Rat!#REF!+MM!#REF!+Lib!#REF!+Pry!#REF!+Hal!#REF!+Cem!#REF!+Par!#REF!+EDv!E6+Str!#REF!+Ele!#REF!+Wat!#REF!+San!#REF!+Ref!#REF!</f>
        <v>#REF!</v>
      </c>
      <c r="F88" s="89" t="e">
        <f>+Cs!#REF!+Fin!#REF!+Rat!#REF!+MM!#REF!+Lib!#REF!+Pry!#REF!+Hal!#REF!+Cem!#REF!+Par!#REF!+EDv!F6+Str!#REF!+Ele!#REF!+Wat!#REF!+San!#REF!+Ref!#REF!</f>
        <v>#REF!</v>
      </c>
      <c r="G88" s="89" t="e">
        <f>+Cs!#REF!+Fin!#REF!+Rat!#REF!+MM!#REF!+Lib!#REF!+Pry!#REF!+Hal!#REF!+Cem!#REF!+Par!#REF!+EDv!G6+Str!#REF!+Ele!#REF!+Wat!#REF!+San!#REF!+Ref!#REF!</f>
        <v>#REF!</v>
      </c>
      <c r="H88" s="89" t="e">
        <f>+Cs!#REF!+Fin!#REF!+Rat!#REF!+MM!#REF!+Lib!#REF!+Pry!#REF!+Hal!#REF!+Cem!#REF!+Par!#REF!+EDv!H6+Str!#REF!+Ele!#REF!+Wat!#REF!+San!#REF!+Ref!#REF!</f>
        <v>#REF!</v>
      </c>
      <c r="I88" s="66" t="s">
        <v>2705</v>
      </c>
    </row>
    <row r="89" spans="1:9" x14ac:dyDescent="0.35">
      <c r="A89" s="66"/>
      <c r="B89" s="66" t="s">
        <v>26</v>
      </c>
      <c r="C89" s="89" t="e">
        <f>+Cs!#REF!+Fin!#REF!+Rat!#REF!+MM!#REF!+Lib!#REF!+Pry!#REF!+Hal!#REF!+Cem!#REF!+Par!#REF!+EDv!C16+Str!#REF!+Ele!#REF!+Wat!#REF!+San!#REF!+Ref!#REF!</f>
        <v>#REF!</v>
      </c>
      <c r="D89" s="89" t="e">
        <f>+Cs!#REF!+Fin!#REF!+Rat!#REF!+MM!#REF!+Lib!#REF!+Pry!#REF!+Hal!#REF!+Cem!#REF!+Par!#REF!+EDv!D16+Str!#REF!+Ele!#REF!+Wat!#REF!+San!#REF!+Ref!#REF!</f>
        <v>#REF!</v>
      </c>
      <c r="E89" s="89" t="e">
        <f>+Cs!#REF!+Fin!#REF!+Rat!#REF!+MM!#REF!+Lib!#REF!+Pry!#REF!+Hal!#REF!+Cem!#REF!+Par!#REF!+EDv!E16+Str!#REF!+Ele!#REF!+Wat!#REF!+San!#REF!+Ref!#REF!</f>
        <v>#REF!</v>
      </c>
      <c r="F89" s="89" t="e">
        <f>+Cs!#REF!+Fin!#REF!+Rat!#REF!+MM!#REF!+Lib!#REF!+Pry!#REF!+Hal!#REF!+Cem!#REF!+Par!#REF!+EDv!F16+Str!#REF!+Ele!#REF!+Wat!#REF!+San!#REF!+Ref!#REF!</f>
        <v>#REF!</v>
      </c>
      <c r="G89" s="89" t="e">
        <f>+Cs!#REF!+Fin!#REF!+Rat!#REF!+MM!#REF!+Lib!#REF!+Pry!#REF!+Hal!#REF!+Cem!#REF!+Par!#REF!+EDv!G16+Str!#REF!+Ele!#REF!+Wat!#REF!+San!#REF!+Ref!#REF!</f>
        <v>#REF!</v>
      </c>
      <c r="H89" s="89" t="e">
        <f>+Cs!#REF!+Fin!#REF!+Rat!#REF!+MM!#REF!+Lib!#REF!+Pry!#REF!+Hal!#REF!+Cem!#REF!+Par!#REF!+EDv!H16+Str!#REF!+Ele!#REF!+Wat!#REF!+San!#REF!+Ref!#REF!</f>
        <v>#REF!</v>
      </c>
      <c r="I89" s="66" t="s">
        <v>2707</v>
      </c>
    </row>
    <row r="90" spans="1:9" x14ac:dyDescent="0.35">
      <c r="A90" s="66"/>
      <c r="B90" s="66" t="s">
        <v>2771</v>
      </c>
      <c r="C90" s="89">
        <f>+Cs!B100+Fin!B100+Rat!B100+MM!B100+Lib!B100+Pry!B100+Hal!B100+Cem!B100+Par!B100+EDv!C75+Str!B100+Ele!B100+Wat!B100+San!B100+Ref!B100</f>
        <v>-63000</v>
      </c>
      <c r="D90" s="89">
        <f>+Cs!C100+Fin!C100+Rat!C100+MM!C100+Lib!C100+Pry!C100+Hal!C100+Cem!C100+Par!C100+EDv!D75+Str!C100+Ele!C100+Wat!C100+San!C100+Ref!C100</f>
        <v>-13000</v>
      </c>
      <c r="E90" s="89">
        <f>+Cs!D100+Fin!D100+Rat!D100+MM!D100+Lib!D100+Pry!D100+Hal!D100+Cem!D100+Par!D100+EDv!E75+Str!D100+Ele!D100+Wat!D100+San!D100+Ref!D100</f>
        <v>-62500</v>
      </c>
      <c r="F90" s="89">
        <f>+Cs!E100+Fin!E100+Rat!E100+MM!E100+Lib!E100+Pry!E100+Hal!E100+Cem!E100+Par!E100+EDv!F75+Str!E100+Ele!E100+Wat!E100+San!E100+Ref!E100</f>
        <v>-71400</v>
      </c>
      <c r="G90" s="89">
        <f>+Cs!F100+Fin!F100+Rat!F100+MM!F100+Lib!F100+Pry!F100+Hal!F100+Cem!F100+Par!F100+EDv!G75+Str!F100+Ele!F100+Wat!F100+San!F100+Ref!F100</f>
        <v>-74600</v>
      </c>
      <c r="H90" s="89">
        <f>+Cs!G100+Fin!G100+Rat!G100+MM!G100+Lib!G100+Pry!G100+Hal!G100+Cem!G100+Par!G100+EDv!H75+Str!G100+Ele!G100+Wat!G100+San!G100+Ref!G100</f>
        <v>-78000</v>
      </c>
      <c r="I90" s="66" t="s">
        <v>2707</v>
      </c>
    </row>
    <row r="91" spans="1:9" x14ac:dyDescent="0.35">
      <c r="A91" s="66" t="s">
        <v>812</v>
      </c>
      <c r="B91" s="66" t="s">
        <v>2637</v>
      </c>
      <c r="C91" s="89">
        <f>+Cs!B109+Fin!B109+Rat!B109+MM!B109+Lib!B109+Pry!B109+Hal!B109+Cem!B109+Par!B109+EDv!C88+Str!B109+Ele!B109+Wat!B109+San!B109+Ref!B109</f>
        <v>-3000</v>
      </c>
      <c r="D91" s="89">
        <f>+Cs!C109+Fin!C109+Rat!C109+MM!C109+Lib!C109+Pry!C109+Hal!C109+Cem!C109+Par!C109+EDv!D88+Str!C109+Ele!C109+Wat!C109+San!C109+Ref!C109</f>
        <v>-2000</v>
      </c>
      <c r="E91" s="89">
        <f>+Cs!D109+Fin!D109+Rat!D109+MM!D109+Lib!D109+Pry!D109+Hal!D109+Cem!D109+Par!D109+EDv!E88+Str!D109+Ele!D109+Wat!D109+San!D109+Ref!D109</f>
        <v>0</v>
      </c>
      <c r="F91" s="89">
        <f>+Cs!E109+Fin!E109+Rat!E109+MM!E109+Lib!E109+Pry!E109+Hal!E109+Cem!E109+Par!E109+EDv!F88+Str!E109+Ele!E109+Wat!E109+San!E109+Ref!E109</f>
        <v>-1000</v>
      </c>
      <c r="G91" s="89">
        <f>+Cs!F109+Fin!F109+Rat!F109+MM!F109+Lib!F109+Pry!F109+Hal!F109+Cem!F109+Par!F109+EDv!G88+Str!F109+Ele!F109+Wat!F109+San!F109+Ref!F109</f>
        <v>-1000</v>
      </c>
      <c r="H91" s="89">
        <f>+Cs!G109+Fin!G109+Rat!G109+MM!G109+Lib!G109+Pry!G109+Hal!G109+Cem!G109+Par!G109+EDv!H88+Str!G109+Ele!G109+Wat!G109+San!G109+Ref!G109</f>
        <v>-1000</v>
      </c>
      <c r="I91" s="66" t="s">
        <v>2707</v>
      </c>
    </row>
    <row r="92" spans="1:9" x14ac:dyDescent="0.35">
      <c r="A92" s="66" t="s">
        <v>814</v>
      </c>
      <c r="B92" s="66" t="s">
        <v>2666</v>
      </c>
      <c r="C92" s="89" t="e">
        <f>+Cs!#REF!+Fin!#REF!+Rat!#REF!+MM!#REF!+Lib!#REF!+Pry!#REF!+Hal!#REF!+Cem!#REF!+Par!#REF!+EDv!C89+Str!#REF!+Ele!#REF!+Wat!#REF!+San!#REF!+Ref!#REF!</f>
        <v>#REF!</v>
      </c>
      <c r="D92" s="89" t="e">
        <f>+Cs!#REF!+Fin!#REF!+Rat!#REF!+MM!#REF!+Lib!#REF!+Pry!#REF!+Hal!#REF!+Cem!#REF!+Par!#REF!+EDv!D89+Str!#REF!+Ele!#REF!+Wat!#REF!+San!#REF!+Ref!#REF!</f>
        <v>#REF!</v>
      </c>
      <c r="E92" s="89" t="e">
        <f>+Cs!#REF!+Fin!#REF!+Rat!#REF!+MM!#REF!+Lib!#REF!+Pry!#REF!+Hal!#REF!+Cem!#REF!+Par!#REF!+EDv!E89+Str!#REF!+Ele!#REF!+Wat!#REF!+San!#REF!+Ref!#REF!</f>
        <v>#REF!</v>
      </c>
      <c r="F92" s="89" t="e">
        <f>+Cs!#REF!+Fin!#REF!+Rat!#REF!+MM!#REF!+Lib!#REF!+Pry!#REF!+Hal!#REF!+Cem!#REF!+Par!#REF!+EDv!F89+Str!#REF!+Ele!#REF!+Wat!#REF!+San!#REF!+Ref!#REF!</f>
        <v>#REF!</v>
      </c>
      <c r="G92" s="89" t="e">
        <f>+Cs!#REF!+Fin!#REF!+Rat!#REF!+MM!#REF!+Lib!#REF!+Pry!#REF!+Hal!#REF!+Cem!#REF!+Par!#REF!+EDv!G89+Str!#REF!+Ele!#REF!+Wat!#REF!+San!#REF!+Ref!#REF!</f>
        <v>#REF!</v>
      </c>
      <c r="H92" s="89" t="e">
        <f>+Cs!#REF!+Fin!#REF!+Rat!#REF!+MM!#REF!+Lib!#REF!+Pry!#REF!+Hal!#REF!+Cem!#REF!+Par!#REF!+EDv!H89+Str!#REF!+Ele!#REF!+Wat!#REF!+San!#REF!+Ref!#REF!</f>
        <v>#REF!</v>
      </c>
      <c r="I92" s="66" t="s">
        <v>2707</v>
      </c>
    </row>
    <row r="93" spans="1:9" x14ac:dyDescent="0.35">
      <c r="A93" s="66"/>
      <c r="B93" s="66" t="s">
        <v>770</v>
      </c>
      <c r="C93" s="89">
        <f>+Cs!B108+Fin!B108+Rat!B108+MM!B108+Lib!B108+Pry!B108+Hal!B108+Cem!B108+Par!B108+EDv!C87+Str!B108+Ele!B108+Wat!B108+San!B108+Ref!B108</f>
        <v>-8000</v>
      </c>
      <c r="D93" s="89">
        <f>+Cs!C108+Fin!C108+Rat!C108+MM!C108+Lib!C108+Pry!C108+Hal!C108+Cem!C108+Par!C108+EDv!D87+Str!C108+Ele!C108+Wat!C108+San!C108+Ref!C108</f>
        <v>-8000</v>
      </c>
      <c r="E93" s="89">
        <f>+Cs!D108+Fin!D108+Rat!D108+MM!D108+Lib!D108+Pry!D108+Hal!D108+Cem!D108+Par!D108+EDv!E87+Str!D108+Ele!D108+Wat!D108+San!D108+Ref!D108</f>
        <v>-7500</v>
      </c>
      <c r="F93" s="89">
        <f>+Cs!E108+Fin!E108+Rat!E108+MM!E108+Lib!E108+Pry!E108+Hal!E108+Cem!E108+Par!E108+EDv!F87+Str!E108+Ele!E108+Wat!E108+San!E108+Ref!E108</f>
        <v>-8000</v>
      </c>
      <c r="G93" s="89">
        <f>+Cs!F108+Fin!F108+Rat!F108+MM!F108+Lib!F108+Pry!F108+Hal!F108+Cem!F108+Par!F108+EDv!G87+Str!F108+Ele!F108+Wat!F108+San!F108+Ref!F108</f>
        <v>-8500</v>
      </c>
      <c r="H93" s="89">
        <f>+Cs!G108+Fin!G108+Rat!G108+MM!G108+Lib!G108+Pry!G108+Hal!G108+Cem!G108+Par!G108+EDv!H87+Str!G108+Ele!G108+Wat!G108+San!G108+Ref!G108</f>
        <v>-9000</v>
      </c>
      <c r="I93" s="66" t="s">
        <v>2707</v>
      </c>
    </row>
    <row r="94" spans="1:9" x14ac:dyDescent="0.35">
      <c r="A94" s="66" t="s">
        <v>808</v>
      </c>
      <c r="B94" s="66" t="s">
        <v>768</v>
      </c>
      <c r="C94" s="89">
        <f>+Cs!B107+Fin!B107+Rat!B107+MM!B107+Lib!B107+Pry!B107+Hal!B107+Cem!B107+Par!B107+EDv!C86+Str!B107+Ele!B107+Wat!B107+San!B107+Ref!B107</f>
        <v>-4000</v>
      </c>
      <c r="D94" s="89">
        <f>+Cs!C107+Fin!C107+Rat!C107+MM!C107+Lib!C107+Pry!C107+Hal!C107+Cem!C107+Par!C107+EDv!D86+Str!C107+Ele!C107+Wat!C107+San!C107+Ref!C107</f>
        <v>-4000</v>
      </c>
      <c r="E94" s="89">
        <f>+Cs!D107+Fin!D107+Rat!D107+MM!D107+Lib!D107+Pry!D107+Hal!D107+Cem!D107+Par!D107+EDv!E86+Str!D107+Ele!D107+Wat!D107+San!D107+Ref!D107</f>
        <v>-792.18000000000006</v>
      </c>
      <c r="F94" s="89">
        <f>+Cs!E107+Fin!E107+Rat!E107+MM!E107+Lib!E107+Pry!E107+Hal!E107+Cem!E107+Par!E107+EDv!F86+Str!E107+Ele!E107+Wat!E107+San!E107+Ref!E107</f>
        <v>-1500</v>
      </c>
      <c r="G94" s="89">
        <f>+Cs!F107+Fin!F107+Rat!F107+MM!F107+Lib!F107+Pry!F107+Hal!F107+Cem!F107+Par!F107+EDv!G86+Str!F107+Ele!F107+Wat!F107+San!F107+Ref!F107</f>
        <v>-1700</v>
      </c>
      <c r="H94" s="89">
        <f>+Cs!G107+Fin!G107+Rat!G107+MM!G107+Lib!G107+Pry!G107+Hal!G107+Cem!G107+Par!G107+EDv!H86+Str!G107+Ele!G107+Wat!G107+San!G107+Ref!G107</f>
        <v>-1900</v>
      </c>
      <c r="I94" s="66" t="s">
        <v>2707</v>
      </c>
    </row>
    <row r="95" spans="1:9" x14ac:dyDescent="0.35">
      <c r="A95" s="66" t="s">
        <v>810</v>
      </c>
      <c r="B95" s="66" t="s">
        <v>2667</v>
      </c>
      <c r="C95" s="89">
        <f>+Cs!B110+Fin!B110+Rat!B110+MM!B110+Lib!B110+Pry!B110+Hal!B110+Cem!B110+Par!B110+EDv!C90+Str!B110+Ele!B110+Wat!B110+San!B110+Ref!B110</f>
        <v>-11600</v>
      </c>
      <c r="D95" s="89">
        <f>+Cs!C110+Fin!C110+Rat!C110+MM!C110+Lib!C110+Pry!C110+Hal!C110+Cem!C110+Par!C110+EDv!D90+Str!C110+Ele!C110+Wat!C110+San!C110+Ref!C110</f>
        <v>-11600</v>
      </c>
      <c r="E95" s="89">
        <f>+Cs!D110+Fin!D110+Rat!D110+MM!D110+Lib!D110+Pry!D110+Hal!D110+Cem!D110+Par!D110+EDv!E90+Str!D110+Ele!D110+Wat!D110+San!D110+Ref!D110</f>
        <v>-5890</v>
      </c>
      <c r="F95" s="89">
        <f>+Cs!E110+Fin!E110+Rat!E110+MM!E110+Lib!E110+Pry!E110+Hal!E110+Cem!E110+Par!E110+EDv!F90+Str!E110+Ele!E110+Wat!E110+San!E110+Ref!E110</f>
        <v>-11600</v>
      </c>
      <c r="G95" s="89">
        <f>+Cs!F110+Fin!F110+Rat!F110+MM!F110+Lib!F110+Pry!F110+Hal!F110+Cem!F110+Par!F110+EDv!G90+Str!F110+Ele!F110+Wat!F110+San!F110+Ref!F110</f>
        <v>-12200</v>
      </c>
      <c r="H95" s="89">
        <f>+Cs!G110+Fin!G110+Rat!G110+MM!G110+Lib!G110+Pry!G110+Hal!G110+Cem!G110+Par!G110+EDv!H90+Str!G110+Ele!G110+Wat!G110+San!G110+Ref!G110</f>
        <v>-12900</v>
      </c>
      <c r="I95" s="66" t="s">
        <v>2707</v>
      </c>
    </row>
    <row r="96" spans="1:9" x14ac:dyDescent="0.35">
      <c r="A96" s="66" t="s">
        <v>816</v>
      </c>
      <c r="B96" s="66" t="s">
        <v>764</v>
      </c>
      <c r="C96" s="89" t="e">
        <f>+Cs!#REF!+Fin!#REF!+Rat!#REF!+MM!#REF!+Lib!#REF!+Pry!#REF!+Hal!#REF!+Cem!#REF!+Par!#REF!+EDv!C84+Str!#REF!+Ele!#REF!+Wat!#REF!+San!#REF!+Ref!#REF!</f>
        <v>#REF!</v>
      </c>
      <c r="D96" s="89" t="e">
        <f>+Cs!#REF!+Fin!#REF!+Rat!#REF!+MM!#REF!+Lib!#REF!+Pry!#REF!+Hal!#REF!+Cem!#REF!+Par!#REF!+EDv!D84+Str!#REF!+Ele!#REF!+Wat!#REF!+San!#REF!+Ref!#REF!</f>
        <v>#REF!</v>
      </c>
      <c r="E96" s="89" t="e">
        <f>+Cs!#REF!+Fin!#REF!+Rat!#REF!+MM!#REF!+Lib!#REF!+Pry!#REF!+Hal!#REF!+Cem!#REF!+Par!#REF!+EDv!E84+Str!#REF!+Ele!#REF!+Wat!#REF!+San!#REF!+Ref!#REF!</f>
        <v>#REF!</v>
      </c>
      <c r="F96" s="89" t="e">
        <f>+Cs!#REF!+Fin!#REF!+Rat!#REF!+MM!#REF!+Lib!#REF!+Pry!#REF!+Hal!#REF!+Cem!#REF!+Par!#REF!+EDv!F84+Str!#REF!+Ele!#REF!+Wat!#REF!+San!#REF!+Ref!#REF!</f>
        <v>#REF!</v>
      </c>
      <c r="G96" s="89" t="e">
        <f>+Cs!#REF!+Fin!#REF!+Rat!#REF!+MM!#REF!+Lib!#REF!+Pry!#REF!+Hal!#REF!+Cem!#REF!+Par!#REF!+EDv!G84+Str!#REF!+Ele!#REF!+Wat!#REF!+San!#REF!+Ref!#REF!</f>
        <v>#REF!</v>
      </c>
      <c r="H96" s="89" t="e">
        <f>+Cs!#REF!+Fin!#REF!+Rat!#REF!+MM!#REF!+Lib!#REF!+Pry!#REF!+Hal!#REF!+Cem!#REF!+Par!#REF!+EDv!H84+Str!#REF!+Ele!#REF!+Wat!#REF!+San!#REF!+Ref!#REF!</f>
        <v>#REF!</v>
      </c>
      <c r="I96" s="66" t="s">
        <v>2718</v>
      </c>
    </row>
    <row r="97" spans="1:12" x14ac:dyDescent="0.35">
      <c r="A97" s="66" t="s">
        <v>820</v>
      </c>
      <c r="B97" s="66" t="s">
        <v>766</v>
      </c>
      <c r="C97" s="89">
        <f>+Cs!B105+Fin!B105+Rat!B105+MM!B105+Lib!B105+Pry!B105+Hal!B105+Cem!B105+Par!B105+EDv!C85+Str!B105+Ele!B105+Wat!B105+San!B105+Ref!B105</f>
        <v>-10000</v>
      </c>
      <c r="D97" s="89">
        <f>+Cs!C105+Fin!C105+Rat!C105+MM!C105+Lib!C105+Pry!C105+Hal!C105+Cem!C105+Par!C105+EDv!D85+Str!C105+Ele!C105+Wat!C105+San!C105+Ref!C105</f>
        <v>-10000</v>
      </c>
      <c r="E97" s="89">
        <f>+Cs!D105+Fin!D105+Rat!D105+MM!D105+Lib!D105+Pry!D105+Hal!D105+Cem!D105+Par!D105+EDv!E85+Str!D105+Ele!D105+Wat!D105+San!D105+Ref!D105</f>
        <v>0</v>
      </c>
      <c r="F97" s="89">
        <f>+Cs!E105+Fin!E105+Rat!E105+MM!E105+Lib!E105+Pry!E105+Hal!E105+Cem!E105+Par!E105+EDv!F85+Str!E105+Ele!E105+Wat!E105+San!E105+Ref!E105</f>
        <v>-1000</v>
      </c>
      <c r="G97" s="89">
        <f>+Cs!F105+Fin!F105+Rat!F105+MM!F105+Lib!F105+Pry!F105+Hal!F105+Cem!F105+Par!F105+EDv!G85+Str!F105+Ele!F105+Wat!F105+San!F105+Ref!F105</f>
        <v>-1100</v>
      </c>
      <c r="H97" s="89">
        <f>+Cs!G105+Fin!G105+Rat!G105+MM!G105+Lib!G105+Pry!G105+Hal!G105+Cem!G105+Par!G105+EDv!H85+Str!G105+Ele!G105+Wat!G105+San!G105+Ref!G105</f>
        <v>-1200</v>
      </c>
      <c r="I97" s="66" t="s">
        <v>2718</v>
      </c>
    </row>
    <row r="99" spans="1:12" ht="15" thickBot="1" x14ac:dyDescent="0.4">
      <c r="B99" s="117" t="s">
        <v>2545</v>
      </c>
      <c r="C99" s="112" t="e">
        <f>SUM(C2:C97)</f>
        <v>#REF!</v>
      </c>
      <c r="D99" s="112" t="e">
        <f t="shared" ref="D99:H99" si="0">SUM(D2:D97)</f>
        <v>#REF!</v>
      </c>
      <c r="E99" s="112" t="e">
        <f t="shared" si="0"/>
        <v>#REF!</v>
      </c>
      <c r="F99" s="112" t="e">
        <f t="shared" si="0"/>
        <v>#REF!</v>
      </c>
      <c r="G99" s="112" t="e">
        <f t="shared" si="0"/>
        <v>#REF!</v>
      </c>
      <c r="H99" s="112" t="e">
        <f t="shared" si="0"/>
        <v>#REF!</v>
      </c>
      <c r="J99" s="111"/>
    </row>
    <row r="100" spans="1:12" ht="15" thickTop="1" x14ac:dyDescent="0.35"/>
    <row r="101" spans="1:12" x14ac:dyDescent="0.35">
      <c r="B101" s="117" t="s">
        <v>2676</v>
      </c>
    </row>
    <row r="102" spans="1:12" x14ac:dyDescent="0.35">
      <c r="A102" s="66" t="s">
        <v>324</v>
      </c>
      <c r="B102" s="66" t="s">
        <v>197</v>
      </c>
      <c r="C102" s="89" t="e">
        <f>+Cs!#REF!+Fin!#REF!+Rat!#REF!+MM!#REF!+Lib!#REF!+Pry!#REF!+Hal!#REF!+Cem!#REF!+Par!#REF!+EDv!C102+Str!#REF!+Ele!#REF!+Wat!#REF!+San!#REF!+Ref!#REF!</f>
        <v>#REF!</v>
      </c>
      <c r="D102" s="89" t="e">
        <f>+Cs!#REF!+Fin!#REF!+Rat!#REF!+MM!#REF!+Lib!#REF!+Pry!#REF!+Hal!#REF!+Cem!#REF!+Par!#REF!+EDv!D102+Str!#REF!+Ele!#REF!+Wat!#REF!+San!#REF!+Ref!#REF!</f>
        <v>#REF!</v>
      </c>
      <c r="E102" s="89" t="e">
        <f>+Cs!#REF!+Fin!#REF!+Rat!#REF!+MM!#REF!+Lib!#REF!+Pry!#REF!+Hal!#REF!+Cem!#REF!+Par!#REF!+EDv!E102+Str!#REF!+Ele!#REF!+Wat!#REF!+San!#REF!+Ref!#REF!</f>
        <v>#REF!</v>
      </c>
      <c r="F102" s="89" t="e">
        <f>+Cs!#REF!+Fin!#REF!+Rat!#REF!+MM!#REF!+Lib!#REF!+Pry!#REF!+Hal!#REF!+Cem!#REF!+Par!#REF!+EDv!F102+Str!#REF!+Ele!#REF!+Wat!#REF!+San!#REF!+Ref!#REF!</f>
        <v>#REF!</v>
      </c>
      <c r="G102" s="89" t="e">
        <f>+Cs!#REF!+Fin!#REF!+Rat!#REF!+MM!#REF!+Lib!#REF!+Pry!#REF!+Hal!#REF!+Cem!#REF!+Par!#REF!+EDv!G102+Str!#REF!+Ele!#REF!+Wat!#REF!+San!#REF!+Ref!#REF!</f>
        <v>#REF!</v>
      </c>
      <c r="H102" s="89" t="e">
        <f>+Cs!#REF!+Fin!#REF!+Rat!#REF!+MM!#REF!+Lib!#REF!+Pry!#REF!+Hal!#REF!+Cem!#REF!+Par!#REF!+EDv!H102+Str!#REF!+Ele!#REF!+Wat!#REF!+San!#REF!+Ref!#REF!</f>
        <v>#REF!</v>
      </c>
      <c r="I102" s="66" t="s">
        <v>2721</v>
      </c>
    </row>
    <row r="103" spans="1:12" x14ac:dyDescent="0.35">
      <c r="A103" s="66" t="s">
        <v>594</v>
      </c>
      <c r="B103" s="66" t="s">
        <v>595</v>
      </c>
      <c r="C103" s="89" t="e">
        <f>+Cs!#REF!+Fin!#REF!+Rat!#REF!+MM!#REF!+Lib!#REF!+Pry!#REF!+Hal!#REF!+Cem!#REF!+Par!#REF!+EDv!C103+Str!#REF!+Ele!#REF!+Wat!#REF!+San!#REF!+Ref!#REF!</f>
        <v>#REF!</v>
      </c>
      <c r="D103" s="89" t="e">
        <f>+Cs!#REF!+Fin!#REF!+Rat!#REF!+MM!#REF!+Lib!#REF!+Pry!#REF!+Hal!#REF!+Cem!#REF!+Par!#REF!+EDv!D103+Str!#REF!+Ele!#REF!+Wat!#REF!+San!#REF!+Ref!#REF!</f>
        <v>#REF!</v>
      </c>
      <c r="E103" s="89" t="e">
        <f>+Cs!#REF!+Fin!#REF!+Rat!#REF!+MM!#REF!+Lib!#REF!+Pry!#REF!+Hal!#REF!+Cem!#REF!+Par!#REF!+EDv!E103+Str!#REF!+Ele!#REF!+Wat!#REF!+San!#REF!+Ref!#REF!</f>
        <v>#REF!</v>
      </c>
      <c r="F103" s="89" t="e">
        <f>+Cs!#REF!+Fin!#REF!+Rat!#REF!+MM!#REF!+Lib!#REF!+Pry!#REF!+Hal!#REF!+Cem!#REF!+Par!#REF!+EDv!F103+Str!#REF!+Ele!#REF!+Wat!#REF!+San!#REF!+Ref!#REF!</f>
        <v>#REF!</v>
      </c>
      <c r="G103" s="89" t="e">
        <f>+Cs!#REF!+Fin!#REF!+Rat!#REF!+MM!#REF!+Lib!#REF!+Pry!#REF!+Hal!#REF!+Cem!#REF!+Par!#REF!+EDv!G103+Str!#REF!+Ele!#REF!+Wat!#REF!+San!#REF!+Ref!#REF!</f>
        <v>#REF!</v>
      </c>
      <c r="H103" s="89" t="e">
        <f>+Cs!#REF!+Fin!#REF!+Rat!#REF!+MM!#REF!+Lib!#REF!+Pry!#REF!+Hal!#REF!+Cem!#REF!+Par!#REF!+EDv!H103+Str!#REF!+Ele!#REF!+Wat!#REF!+San!#REF!+Ref!#REF!</f>
        <v>#REF!</v>
      </c>
      <c r="I103" s="66" t="s">
        <v>2722</v>
      </c>
    </row>
    <row r="104" spans="1:12" x14ac:dyDescent="0.35">
      <c r="A104" s="66" t="s">
        <v>596</v>
      </c>
      <c r="B104" s="66" t="s">
        <v>597</v>
      </c>
      <c r="C104" s="89" t="e">
        <f>+Cs!#REF!+Fin!#REF!+Rat!#REF!+MM!#REF!+Lib!#REF!+Pry!#REF!+Hal!#REF!+Cem!#REF!+Par!#REF!+EDv!C104+Str!#REF!+Ele!#REF!+Wat!#REF!+San!#REF!+Ref!#REF!</f>
        <v>#REF!</v>
      </c>
      <c r="D104" s="89" t="e">
        <f>+Cs!#REF!+Fin!#REF!+Rat!#REF!+MM!#REF!+Lib!#REF!+Pry!#REF!+Hal!#REF!+Cem!#REF!+Par!#REF!+EDv!D104+Str!#REF!+Ele!#REF!+Wat!#REF!+San!#REF!+Ref!#REF!</f>
        <v>#REF!</v>
      </c>
      <c r="E104" s="89" t="e">
        <f>+Cs!#REF!+Fin!#REF!+Rat!#REF!+MM!#REF!+Lib!#REF!+Pry!#REF!+Hal!#REF!+Cem!#REF!+Par!#REF!+EDv!E104+Str!#REF!+Ele!#REF!+Wat!#REF!+San!#REF!+Ref!#REF!</f>
        <v>#REF!</v>
      </c>
      <c r="F104" s="89" t="e">
        <f>+Cs!#REF!+Fin!#REF!+Rat!#REF!+MM!#REF!+Lib!#REF!+Pry!#REF!+Hal!#REF!+Cem!#REF!+Par!#REF!+EDv!F104+Str!#REF!+Ele!#REF!+Wat!#REF!+San!#REF!+Ref!#REF!</f>
        <v>#REF!</v>
      </c>
      <c r="G104" s="89" t="e">
        <f>+Cs!#REF!+Fin!#REF!+Rat!#REF!+MM!#REF!+Lib!#REF!+Pry!#REF!+Hal!#REF!+Cem!#REF!+Par!#REF!+EDv!G104+Str!#REF!+Ele!#REF!+Wat!#REF!+San!#REF!+Ref!#REF!</f>
        <v>#REF!</v>
      </c>
      <c r="H104" s="89" t="e">
        <f>+Cs!#REF!+Fin!#REF!+Rat!#REF!+MM!#REF!+Lib!#REF!+Pry!#REF!+Hal!#REF!+Cem!#REF!+Par!#REF!+EDv!H104+Str!#REF!+Ele!#REF!+Wat!#REF!+San!#REF!+Ref!#REF!</f>
        <v>#REF!</v>
      </c>
      <c r="I104" s="66" t="s">
        <v>2722</v>
      </c>
    </row>
    <row r="105" spans="1:12" x14ac:dyDescent="0.35">
      <c r="A105" s="66" t="s">
        <v>598</v>
      </c>
      <c r="B105" s="66" t="s">
        <v>599</v>
      </c>
      <c r="C105" s="89" t="e">
        <f>+Cs!#REF!+Fin!#REF!+Rat!#REF!+MM!#REF!+Lib!#REF!+Pry!#REF!+Hal!#REF!+Cem!#REF!+Par!#REF!+EDv!C105+Str!#REF!+Ele!#REF!+Wat!#REF!+San!#REF!+Ref!#REF!</f>
        <v>#REF!</v>
      </c>
      <c r="D105" s="89" t="e">
        <f>+Cs!#REF!+Fin!#REF!+Rat!#REF!+MM!#REF!+Lib!#REF!+Pry!#REF!+Hal!#REF!+Cem!#REF!+Par!#REF!+EDv!D105+Str!#REF!+Ele!#REF!+Wat!#REF!+San!#REF!+Ref!#REF!</f>
        <v>#REF!</v>
      </c>
      <c r="E105" s="89" t="e">
        <f>+Cs!#REF!+Fin!#REF!+Rat!#REF!+MM!#REF!+Lib!#REF!+Pry!#REF!+Hal!#REF!+Cem!#REF!+Par!#REF!+EDv!E105+Str!#REF!+Ele!#REF!+Wat!#REF!+San!#REF!+Ref!#REF!</f>
        <v>#REF!</v>
      </c>
      <c r="F105" s="89" t="e">
        <f>+Cs!#REF!+Fin!#REF!+Rat!#REF!+MM!#REF!+Lib!#REF!+Pry!#REF!+Hal!#REF!+Cem!#REF!+Par!#REF!+EDv!F105+Str!#REF!+Ele!#REF!+Wat!#REF!+San!#REF!+Ref!#REF!</f>
        <v>#REF!</v>
      </c>
      <c r="G105" s="89" t="e">
        <f>+Cs!#REF!+Fin!#REF!+Rat!#REF!+MM!#REF!+Lib!#REF!+Pry!#REF!+Hal!#REF!+Cem!#REF!+Par!#REF!+EDv!G105+Str!#REF!+Ele!#REF!+Wat!#REF!+San!#REF!+Ref!#REF!</f>
        <v>#REF!</v>
      </c>
      <c r="H105" s="89" t="e">
        <f>+Cs!#REF!+Fin!#REF!+Rat!#REF!+MM!#REF!+Lib!#REF!+Pry!#REF!+Hal!#REF!+Cem!#REF!+Par!#REF!+EDv!H105+Str!#REF!+Ele!#REF!+Wat!#REF!+San!#REF!+Ref!#REF!</f>
        <v>#REF!</v>
      </c>
      <c r="I105" s="66" t="s">
        <v>2722</v>
      </c>
    </row>
    <row r="106" spans="1:12" x14ac:dyDescent="0.35">
      <c r="A106" s="66" t="s">
        <v>69</v>
      </c>
      <c r="B106" s="66" t="s">
        <v>70</v>
      </c>
      <c r="C106" s="89" t="e">
        <f>+Cs!#REF!+Fin!#REF!+Rat!#REF!+MM!#REF!+Lib!#REF!+Pry!#REF!+Hal!#REF!+Cem!#REF!+Par!#REF!+EDv!C106+Str!#REF!+Ele!#REF!+Wat!#REF!+San!#REF!+Ref!#REF!</f>
        <v>#REF!</v>
      </c>
      <c r="D106" s="89" t="e">
        <f>+Cs!#REF!+Fin!#REF!+Rat!#REF!+MM!#REF!+Lib!#REF!+Pry!#REF!+Hal!#REF!+Cem!#REF!+Par!#REF!+EDv!D106+Str!#REF!+Ele!#REF!+Wat!#REF!+San!#REF!+Ref!#REF!</f>
        <v>#REF!</v>
      </c>
      <c r="E106" s="89" t="e">
        <f>+Cs!#REF!+Fin!#REF!+Rat!#REF!+MM!#REF!+Lib!#REF!+Pry!#REF!+Hal!#REF!+Cem!#REF!+Par!#REF!+EDv!E106+Str!#REF!+Ele!#REF!+Wat!#REF!+San!#REF!+Ref!#REF!</f>
        <v>#REF!</v>
      </c>
      <c r="F106" s="89" t="e">
        <f>+Cs!#REF!+Fin!#REF!+Rat!#REF!+MM!#REF!+Lib!#REF!+Pry!#REF!+Hal!#REF!+Cem!#REF!+Par!#REF!+EDv!F106+Str!#REF!+Ele!#REF!+Wat!#REF!+San!#REF!+Ref!#REF!</f>
        <v>#REF!</v>
      </c>
      <c r="G106" s="89" t="e">
        <f>+Cs!#REF!+Fin!#REF!+Rat!#REF!+MM!#REF!+Lib!#REF!+Pry!#REF!+Hal!#REF!+Cem!#REF!+Par!#REF!+EDv!G106+Str!#REF!+Ele!#REF!+Wat!#REF!+San!#REF!+Ref!#REF!</f>
        <v>#REF!</v>
      </c>
      <c r="H106" s="89" t="e">
        <f>+Cs!#REF!+Fin!#REF!+Rat!#REF!+MM!#REF!+Lib!#REF!+Pry!#REF!+Hal!#REF!+Cem!#REF!+Par!#REF!+EDv!H106+Str!#REF!+Ele!#REF!+Wat!#REF!+San!#REF!+Ref!#REF!</f>
        <v>#REF!</v>
      </c>
      <c r="I106" s="66" t="s">
        <v>2722</v>
      </c>
    </row>
    <row r="107" spans="1:12" x14ac:dyDescent="0.35">
      <c r="A107" s="66" t="s">
        <v>107</v>
      </c>
      <c r="B107" s="66" t="s">
        <v>108</v>
      </c>
      <c r="C107" s="89">
        <f>+Cs!B125+Fin!B125+Rat!B125+MM!B125+Lib!B125+Pry!B125+Hal!B125+Cem!B125+Par!B125+EDv!C107+Str!B125+Ele!B126+Wat!B125+San!B125+Ref!B125</f>
        <v>202400</v>
      </c>
      <c r="D107" s="89">
        <f>+Cs!C125+Fin!C125+Rat!C125+MM!C125+Lib!C125+Pry!C125+Hal!C125+Cem!C125+Par!C125+EDv!D107+Str!C125+Ele!C126+Wat!C125+San!C125+Ref!C125</f>
        <v>202400</v>
      </c>
      <c r="E107" s="89">
        <f>+Cs!D125+Fin!D125+Rat!D125+MM!D125+Lib!D125+Pry!D125+Hal!D125+Cem!D125+Par!D125+EDv!E107+Str!D125+Ele!D126+Wat!D125+San!D125+Ref!D125</f>
        <v>200817</v>
      </c>
      <c r="F107" s="89">
        <f>+Cs!E125+Fin!E125+Rat!E125+MM!E125+Lib!E125+Pry!E125+Hal!E125+Cem!E125+Par!E125+EDv!F107+Str!E125+Ele!E126+Wat!E125+San!E125+Ref!E125</f>
        <v>211900</v>
      </c>
      <c r="G107" s="89">
        <f>+Cs!F125+Fin!F125+Rat!F125+MM!F125+Lib!F125+Pry!F125+Hal!F125+Cem!F125+Par!F125+EDv!G107+Str!F125+Ele!F126+Wat!F125+San!F125+Ref!F125</f>
        <v>222800</v>
      </c>
      <c r="H107" s="89">
        <f>+Cs!G125+Fin!G125+Rat!G125+MM!G125+Lib!G125+Pry!G125+Hal!G125+Cem!G125+Par!G125+EDv!H107+Str!G125+Ele!G126+Wat!G125+San!G125+Ref!G125</f>
        <v>234200</v>
      </c>
      <c r="I107" s="66" t="s">
        <v>2722</v>
      </c>
    </row>
    <row r="108" spans="1:12" x14ac:dyDescent="0.35">
      <c r="A108" s="66" t="s">
        <v>859</v>
      </c>
      <c r="B108" s="66" t="s">
        <v>760</v>
      </c>
      <c r="C108" s="89">
        <f>+Cs!B126+Fin!B126+Rat!B126+MM!B126+Lib!B126+Pry!B126+Hal!B126+Cem!B126+Par!B126+EDv!C108+Str!B126+Ele!B125+Wat!B126+San!B126+Ref!B126</f>
        <v>15000</v>
      </c>
      <c r="D108" s="89">
        <f>+Cs!C126+Fin!C126+Rat!C126+MM!C126+Lib!C126+Pry!C126+Hal!C126+Cem!C126+Par!C126+EDv!D108+Str!C126+Ele!C125+Wat!C126+San!C126+Ref!C126</f>
        <v>15000</v>
      </c>
      <c r="E108" s="89">
        <f>+Cs!D126+Fin!D126+Rat!D126+MM!D126+Lib!D126+Pry!D126+Hal!D126+Cem!D126+Par!D126+EDv!E108+Str!D126+Ele!D125+Wat!D126+San!D126+Ref!D126</f>
        <v>0</v>
      </c>
      <c r="F108" s="89">
        <f>+Cs!E126+Fin!E126+Rat!E126+MM!E126+Lib!E126+Pry!E126+Hal!E126+Cem!E126+Par!E126+EDv!F108+Str!E126+Ele!E125+Wat!E126+San!E126+Ref!E126</f>
        <v>16000</v>
      </c>
      <c r="G108" s="89">
        <f>+Cs!F126+Fin!F126+Rat!F126+MM!F126+Lib!F126+Pry!F126+Hal!F126+Cem!F126+Par!F126+EDv!G108+Str!F126+Ele!F125+Wat!F126+San!F126+Ref!F126</f>
        <v>0</v>
      </c>
      <c r="H108" s="89">
        <f>+Cs!G126+Fin!G126+Rat!G126+MM!G126+Lib!G126+Pry!G126+Hal!G126+Cem!G126+Par!G126+EDv!H108+Str!G126+Ele!G125+Wat!G126+San!G126+Ref!G126</f>
        <v>0</v>
      </c>
      <c r="I108" s="66" t="s">
        <v>2722</v>
      </c>
    </row>
    <row r="109" spans="1:12" x14ac:dyDescent="0.35">
      <c r="A109" s="66" t="s">
        <v>343</v>
      </c>
      <c r="B109" s="66" t="s">
        <v>344</v>
      </c>
      <c r="C109" s="89">
        <f>+Cs!B127+Fin!B127+Rat!B127+MM!B127+Lib!B127+Pry!B127+Hal!B127+Cem!B127+Par!B127+EDv!C109+Str!B127+Ele!B127+Wat!B127+San!B127+Ref!B127</f>
        <v>150000</v>
      </c>
      <c r="D109" s="89">
        <f>+Cs!C127+Fin!C127+Rat!C127+MM!C127+Lib!C127+Pry!C127+Hal!C127+Cem!C127+Par!C127+EDv!D109+Str!C127+Ele!C127+Wat!C127+San!C127+Ref!C127</f>
        <v>0</v>
      </c>
      <c r="E109" s="89">
        <f>+Cs!D127+Fin!D127+Rat!D127+MM!D127+Lib!D127+Pry!D127+Hal!D127+Cem!D127+Par!D127+EDv!E109+Str!D127+Ele!D127+Wat!D127+San!D127+Ref!D127</f>
        <v>0</v>
      </c>
      <c r="F109" s="89">
        <f>+Cs!E127+Fin!E127+Rat!E127+MM!E127+Lib!E127+Pry!E127+Hal!E127+Cem!E127+Par!E127+EDv!F109+Str!E127+Ele!E127+Wat!E127+San!E127+Ref!E127</f>
        <v>70000</v>
      </c>
      <c r="G109" s="89">
        <f>+Cs!F127+Fin!F127+Rat!F127+MM!F127+Lib!F127+Pry!F127+Hal!F127+Cem!F127+Par!F127+EDv!G109+Str!F127+Ele!F127+Wat!F127+San!F127+Ref!F127</f>
        <v>73300</v>
      </c>
      <c r="H109" s="89">
        <f>+Cs!G127+Fin!G127+Rat!G127+MM!G127+Lib!G127+Pry!G127+Hal!G127+Cem!G127+Par!G127+EDv!H109+Str!G127+Ele!G127+Wat!G127+San!G127+Ref!G127</f>
        <v>76700</v>
      </c>
      <c r="I109" s="66" t="s">
        <v>2722</v>
      </c>
    </row>
    <row r="110" spans="1:12" x14ac:dyDescent="0.35">
      <c r="A110" s="66" t="s">
        <v>334</v>
      </c>
      <c r="B110" s="66" t="s">
        <v>601</v>
      </c>
      <c r="C110" s="89">
        <f>+Cs!B128+Fin!B128+Rat!B128+MM!B128+Lib!B128+Pry!B128+Hal!B128+Cem!B128+Par!B128+EDv!C111+Str!B128+Ele!B128+Wat!B128+San!B128+Ref!B128</f>
        <v>43000</v>
      </c>
      <c r="D110" s="89">
        <f>+Cs!C128+Fin!C128+Rat!C128+MM!C128+Lib!C128+Pry!C128+Hal!C128+Cem!C128+Par!C128+EDv!D111+Str!C128+Ele!C128+Wat!C128+San!C128+Ref!C128</f>
        <v>43000</v>
      </c>
      <c r="E110" s="89">
        <f>+Cs!D128+Fin!D128+Rat!D128+MM!D128+Lib!D128+Pry!D128+Hal!D128+Cem!D128+Par!D128+EDv!E111+Str!D128+Ele!D128+Wat!D128+San!D128+Ref!D128</f>
        <v>31985.32</v>
      </c>
      <c r="F110" s="89">
        <f>+Cs!E128+Fin!E128+Rat!E128+MM!E128+Lib!E128+Pry!E128+Hal!E128+Cem!E128+Par!E128+EDv!F111+Str!E128+Ele!E128+Wat!E128+San!E128+Ref!E128</f>
        <v>104000</v>
      </c>
      <c r="G110" s="89">
        <f>+Cs!F128+Fin!F128+Rat!F128+MM!F128+Lib!F128+Pry!F128+Hal!F128+Cem!F128+Par!F128+EDv!G111+Str!F128+Ele!F128+Wat!F128+San!F128+Ref!F128</f>
        <v>45300</v>
      </c>
      <c r="H110" s="89">
        <f>+Cs!G128+Fin!G128+Rat!G128+MM!G128+Lib!G128+Pry!G128+Hal!G128+Cem!G128+Par!G128+EDv!H111+Str!G128+Ele!G128+Wat!G128+San!G128+Ref!G128</f>
        <v>47700</v>
      </c>
      <c r="I110" s="66" t="s">
        <v>2722</v>
      </c>
    </row>
    <row r="111" spans="1:12" x14ac:dyDescent="0.35">
      <c r="A111" s="66" t="s">
        <v>600</v>
      </c>
      <c r="B111" s="66" t="s">
        <v>2736</v>
      </c>
      <c r="C111" s="89" t="e">
        <f>+Cs!#REF!+Fin!#REF!+Rat!#REF!+MM!#REF!+Lib!#REF!+Pry!#REF!+Hal!#REF!+Cem!#REF!+Par!#REF!+EDv!C110+Str!#REF!+Ele!#REF!+Wat!#REF!+San!#REF!+Ref!#REF!</f>
        <v>#REF!</v>
      </c>
      <c r="D111" s="89" t="e">
        <f>+Cs!#REF!+Fin!#REF!+Rat!#REF!+MM!#REF!+Lib!#REF!+Pry!#REF!+Hal!#REF!+Cem!#REF!+Par!#REF!+EDv!D110+Str!#REF!+Ele!#REF!+Wat!#REF!+San!#REF!+Ref!#REF!</f>
        <v>#REF!</v>
      </c>
      <c r="E111" s="89" t="e">
        <f>+Cs!#REF!+Fin!#REF!+Rat!#REF!+MM!#REF!+Lib!#REF!+Pry!#REF!+Hal!#REF!+Cem!#REF!+Par!#REF!+EDv!E110+Str!#REF!+Ele!#REF!+Wat!#REF!+San!#REF!+Ref!#REF!</f>
        <v>#REF!</v>
      </c>
      <c r="F111" s="89" t="e">
        <f>+Cs!#REF!+Fin!#REF!+Rat!#REF!+MM!#REF!+Lib!#REF!+Pry!#REF!+Hal!#REF!+Cem!#REF!+Par!#REF!+EDv!F110+Str!#REF!+Ele!#REF!+Wat!#REF!+San!#REF!+Ref!#REF!</f>
        <v>#REF!</v>
      </c>
      <c r="G111" s="89" t="e">
        <f>+Cs!#REF!+Fin!#REF!+Rat!#REF!+MM!#REF!+Lib!#REF!+Pry!#REF!+Hal!#REF!+Cem!#REF!+Par!#REF!+EDv!G110+Str!#REF!+Ele!#REF!+Wat!#REF!+San!#REF!+Ref!#REF!</f>
        <v>#REF!</v>
      </c>
      <c r="H111" s="89" t="e">
        <f>+Cs!#REF!+Fin!#REF!+Rat!#REF!+MM!#REF!+Lib!#REF!+Pry!#REF!+Hal!#REF!+Cem!#REF!+Par!#REF!+EDv!H110+Str!#REF!+Ele!#REF!+Wat!#REF!+San!#REF!+Ref!#REF!</f>
        <v>#REF!</v>
      </c>
      <c r="I111" s="66" t="s">
        <v>2722</v>
      </c>
    </row>
    <row r="112" spans="1:12" x14ac:dyDescent="0.35">
      <c r="A112" s="66" t="s">
        <v>79</v>
      </c>
      <c r="B112" s="66" t="s">
        <v>80</v>
      </c>
      <c r="C112" s="89">
        <f>+Cs!B129+Fin!B129+Rat!B129+MM!B129+Lib!B129+Pry!B129+Hal!B129+Cem!B129+Par!B129+EDv!C112+Str!B129+Ele!B129+Wat!B129+San!B129+Ref!B129</f>
        <v>96000</v>
      </c>
      <c r="D112" s="89">
        <f>+Cs!C129+Fin!C129+Rat!C129+MM!C129+Lib!C129+Pry!C129+Hal!C129+Cem!C129+Par!C129+EDv!D112+Str!C129+Ele!C129+Wat!C129+San!C129+Ref!C129</f>
        <v>50000</v>
      </c>
      <c r="E112" s="89">
        <f>+Cs!D129+Fin!D129+Rat!D129+MM!D129+Lib!D129+Pry!D129+Hal!D129+Cem!D129+Par!D129+EDv!E112+Str!D129+Ele!D129+Wat!D129+San!D129+Ref!D129</f>
        <v>78000</v>
      </c>
      <c r="F112" s="89">
        <f>+Cs!E129+Fin!E129+Rat!E129+MM!E129+Lib!E129+Pry!E129+Hal!E129+Cem!E129+Par!E129+EDv!F112+Str!E129+Ele!E129+Wat!E129+San!E129+Ref!E129</f>
        <v>80000</v>
      </c>
      <c r="G112" s="89">
        <f>+Cs!F129+Fin!F129+Rat!F129+MM!F129+Lib!F129+Pry!F129+Hal!F129+Cem!F129+Par!F129+EDv!G112+Str!F129+Ele!F129+Wat!F129+San!F129+Ref!F129</f>
        <v>83700</v>
      </c>
      <c r="H112" s="89">
        <f>+Cs!G129+Fin!G129+Rat!G129+MM!G129+Lib!G129+Pry!G129+Hal!G129+Cem!G129+Par!G129+EDv!H112+Str!G129+Ele!G129+Wat!G129+San!G129+Ref!G129</f>
        <v>87600</v>
      </c>
      <c r="I112" s="66" t="s">
        <v>2722</v>
      </c>
      <c r="K112" s="111"/>
      <c r="L112" s="111"/>
    </row>
    <row r="113" spans="1:9" x14ac:dyDescent="0.35">
      <c r="A113" s="66" t="s">
        <v>220</v>
      </c>
      <c r="B113" s="66" t="s">
        <v>2746</v>
      </c>
      <c r="C113" s="89">
        <f>+Cs!B156+Fin!B156+Rat!B156+MM!B156+Lib!B156+Pry!B156+Hal!B156+Cem!B156+Par!B156+EDv!C140+Str!B156+Ele!B156+Wat!B156+San!B156+Ref!B156</f>
        <v>19000</v>
      </c>
      <c r="D113" s="89">
        <f>+Cs!C156+Fin!C156+Rat!C156+MM!C156+Lib!C156+Pry!C156+Hal!C156+Cem!C156+Par!C156+EDv!D140+Str!C156+Ele!C156+Wat!C156+San!C156+Ref!C156</f>
        <v>19000</v>
      </c>
      <c r="E113" s="89">
        <f>+Cs!D156+Fin!D156+Rat!D156+MM!D156+Lib!D156+Pry!D156+Hal!D156+Cem!D156+Par!D156+EDv!E140+Str!D156+Ele!D156+Wat!D156+San!D156+Ref!D156</f>
        <v>12816.94</v>
      </c>
      <c r="F113" s="89">
        <f>+Cs!E156+Fin!E156+Rat!E156+MM!E156+Lib!E156+Pry!E156+Hal!E156+Cem!E156+Par!E156+EDv!F140+Str!E156+Ele!E156+Wat!E156+San!E156+Ref!E156</f>
        <v>15000</v>
      </c>
      <c r="G113" s="89">
        <f>+Cs!F156+Fin!F156+Rat!F156+MM!F156+Lib!F156+Pry!F156+Hal!F156+Cem!F156+Par!F156+EDv!G140+Str!F156+Ele!F156+Wat!F156+San!F156+Ref!F156</f>
        <v>0</v>
      </c>
      <c r="H113" s="89">
        <f>+Cs!G156+Fin!G156+Rat!G156+MM!G156+Lib!G156+Pry!G156+Hal!G156+Cem!G156+Par!G156+EDv!H140+Str!G156+Ele!G156+Wat!G156+San!G156+Ref!G156</f>
        <v>0</v>
      </c>
      <c r="I113" s="66" t="s">
        <v>2730</v>
      </c>
    </row>
    <row r="114" spans="1:9" x14ac:dyDescent="0.35">
      <c r="A114" s="66" t="s">
        <v>213</v>
      </c>
      <c r="B114" s="66" t="s">
        <v>221</v>
      </c>
      <c r="C114" s="89">
        <f>+Cs!B130+Fin!B130+Rat!B130+MM!B130+Lib!B130+Pry!B130+Hal!B130+Cem!B130+Par!B130+EDv!C113+Str!B130+Ele!B130+Wat!B130+San!B130+Ref!B130</f>
        <v>2160000</v>
      </c>
      <c r="D114" s="89">
        <f>+Cs!C130+Fin!C130+Rat!C130+MM!C130+Lib!C130+Pry!C130+Hal!C130+Cem!C130+Par!C130+EDv!D113+Str!C130+Ele!C130+Wat!C130+San!C130+Ref!C130</f>
        <v>2100000</v>
      </c>
      <c r="E114" s="89">
        <f>+Cs!D130+Fin!D130+Rat!D130+MM!D130+Lib!D130+Pry!D130+Hal!D130+Cem!D130+Par!D130+EDv!E113+Str!D130+Ele!D130+Wat!D130+San!D130+Ref!D130</f>
        <v>2209938.77</v>
      </c>
      <c r="F114" s="89">
        <f>+Cs!E130+Fin!E130+Rat!E130+MM!E130+Lib!E130+Pry!E130+Hal!E130+Cem!E130+Par!E130+EDv!F113+Str!E130+Ele!E130+Wat!E130+San!E130+Ref!E130</f>
        <v>2320000</v>
      </c>
      <c r="G114" s="89">
        <f>+Cs!F130+Fin!F130+Rat!F130+MM!F130+Lib!F130+Pry!F130+Hal!F130+Cem!F130+Par!F130+EDv!G113+Str!F130+Ele!F130+Wat!F130+San!F130+Ref!F130</f>
        <v>2426800</v>
      </c>
      <c r="H114" s="89">
        <f>+Cs!G130+Fin!G130+Rat!G130+MM!G130+Lib!G130+Pry!G130+Hal!G130+Cem!G130+Par!G130+EDv!H113+Str!G130+Ele!G130+Wat!G130+San!G130+Ref!G130</f>
        <v>2538400</v>
      </c>
      <c r="I114" s="66" t="s">
        <v>2722</v>
      </c>
    </row>
    <row r="115" spans="1:9" x14ac:dyDescent="0.35">
      <c r="A115" s="66" t="s">
        <v>834</v>
      </c>
      <c r="B115" s="66" t="s">
        <v>214</v>
      </c>
      <c r="C115" s="89" t="e">
        <f>+Cs!#REF!+Fin!#REF!+Rat!#REF!+MM!#REF!+Lib!#REF!+Pry!#REF!+Hal!#REF!+Cem!#REF!+Par!#REF!+EDv!C114+Str!#REF!+Ele!#REF!+Wat!#REF!+San!#REF!+Ref!#REF!</f>
        <v>#REF!</v>
      </c>
      <c r="D115" s="89" t="e">
        <f>+Cs!#REF!+Fin!#REF!+Rat!#REF!+MM!#REF!+Lib!#REF!+Pry!#REF!+Hal!#REF!+Cem!#REF!+Par!#REF!+EDv!D114+Str!#REF!+Ele!#REF!+Wat!#REF!+San!#REF!+Ref!#REF!</f>
        <v>#REF!</v>
      </c>
      <c r="E115" s="89" t="e">
        <f>+Cs!#REF!+Fin!#REF!+Rat!#REF!+MM!#REF!+Lib!#REF!+Pry!#REF!+Hal!#REF!+Cem!#REF!+Par!#REF!+EDv!E114+Str!#REF!+Ele!#REF!+Wat!#REF!+San!#REF!+Ref!#REF!</f>
        <v>#REF!</v>
      </c>
      <c r="F115" s="89" t="e">
        <f>+Cs!#REF!+Fin!#REF!+Rat!#REF!+MM!#REF!+Lib!#REF!+Pry!#REF!+Hal!#REF!+Cem!#REF!+Par!#REF!+EDv!F114+Str!#REF!+Ele!#REF!+Wat!#REF!+San!#REF!+Ref!#REF!</f>
        <v>#REF!</v>
      </c>
      <c r="G115" s="89" t="e">
        <f>+Cs!#REF!+Fin!#REF!+Rat!#REF!+MM!#REF!+Lib!#REF!+Pry!#REF!+Hal!#REF!+Cem!#REF!+Par!#REF!+EDv!G114+Str!#REF!+Ele!#REF!+Wat!#REF!+San!#REF!+Ref!#REF!</f>
        <v>#REF!</v>
      </c>
      <c r="H115" s="89" t="e">
        <f>+Cs!#REF!+Fin!#REF!+Rat!#REF!+MM!#REF!+Lib!#REF!+Pry!#REF!+Hal!#REF!+Cem!#REF!+Par!#REF!+EDv!H114+Str!#REF!+Ele!#REF!+Wat!#REF!+San!#REF!+Ref!#REF!</f>
        <v>#REF!</v>
      </c>
      <c r="I115" s="66" t="s">
        <v>2722</v>
      </c>
    </row>
    <row r="116" spans="1:9" x14ac:dyDescent="0.35">
      <c r="A116" s="66" t="s">
        <v>825</v>
      </c>
      <c r="B116" s="66" t="s">
        <v>46</v>
      </c>
      <c r="C116" s="89">
        <f>+Cs!B131+Fin!B131+Rat!B131+MM!B131+Lib!B131+Pry!B131+Hal!B131+Cem!B131+Par!B131+EDv!C115+Str!B131+Ele!B131+Wat!B131+San!B131+Ref!B131</f>
        <v>141000</v>
      </c>
      <c r="D116" s="89">
        <f>+Cs!C131+Fin!C131+Rat!C131+MM!C131+Lib!C131+Pry!C131+Hal!C131+Cem!C131+Par!C131+EDv!D115+Str!C131+Ele!C131+Wat!C131+San!C131+Ref!C131</f>
        <v>40000</v>
      </c>
      <c r="E116" s="89">
        <f>+Cs!D131+Fin!D131+Rat!D131+MM!D131+Lib!D131+Pry!D131+Hal!D131+Cem!D131+Par!D131+EDv!E115+Str!D131+Ele!D131+Wat!D131+San!D131+Ref!D131</f>
        <v>14970.22</v>
      </c>
      <c r="F116" s="89">
        <f>+Cs!E131+Fin!E131+Rat!E131+MM!E131+Lib!E131+Pry!E131+Hal!E131+Cem!E131+Par!E131+EDv!F115+Str!E131+Ele!E131+Wat!E131+San!E131+Ref!E131</f>
        <v>0</v>
      </c>
      <c r="G116" s="89">
        <f>+Cs!F131+Fin!F131+Rat!F131+MM!F131+Lib!F131+Pry!F131+Hal!F131+Cem!F131+Par!F131+EDv!G115+Str!F131+Ele!F131+Wat!F131+San!F131+Ref!F131</f>
        <v>0</v>
      </c>
      <c r="H116" s="89">
        <f>+Cs!G131+Fin!G131+Rat!G131+MM!G131+Lib!G131+Pry!G131+Hal!G131+Cem!G131+Par!G131+EDv!H115+Str!G131+Ele!G131+Wat!G131+San!G131+Ref!G131</f>
        <v>0</v>
      </c>
      <c r="I116" s="66" t="s">
        <v>2721</v>
      </c>
    </row>
    <row r="117" spans="1:9" x14ac:dyDescent="0.35">
      <c r="A117" s="66" t="s">
        <v>736</v>
      </c>
      <c r="B117" s="66" t="s">
        <v>36</v>
      </c>
      <c r="C117" s="89" t="e">
        <f>+Cs!#REF!+Fin!#REF!+Rat!#REF!+MM!#REF!+Lib!#REF!+Pry!#REF!+Hal!#REF!+Cem!#REF!+Par!#REF!+EDv!C116+Str!#REF!+Ele!#REF!+Wat!#REF!+San!#REF!+Ref!#REF!</f>
        <v>#REF!</v>
      </c>
      <c r="D117" s="89" t="e">
        <f>+Cs!#REF!+Fin!#REF!+Rat!#REF!+MM!#REF!+Lib!#REF!+Pry!#REF!+Hal!#REF!+Cem!#REF!+Par!#REF!+EDv!D116+Str!#REF!+Ele!#REF!+Wat!#REF!+San!#REF!+Ref!#REF!</f>
        <v>#REF!</v>
      </c>
      <c r="E117" s="89" t="e">
        <f>+Cs!#REF!+Fin!#REF!+Rat!#REF!+MM!#REF!+Lib!#REF!+Pry!#REF!+Hal!#REF!+Cem!#REF!+Par!#REF!+EDv!E116+Str!#REF!+Ele!#REF!+Wat!#REF!+San!#REF!+Ref!#REF!</f>
        <v>#REF!</v>
      </c>
      <c r="F117" s="89" t="e">
        <f>+Cs!#REF!+Fin!#REF!+Rat!#REF!+MM!#REF!+Lib!#REF!+Pry!#REF!+Hal!#REF!+Cem!#REF!+Par!#REF!+EDv!F116+Str!#REF!+Ele!#REF!+Wat!#REF!+San!#REF!+Ref!#REF!</f>
        <v>#REF!</v>
      </c>
      <c r="G117" s="89" t="e">
        <f>+Cs!#REF!+Fin!#REF!+Rat!#REF!+MM!#REF!+Lib!#REF!+Pry!#REF!+Hal!#REF!+Cem!#REF!+Par!#REF!+EDv!G116+Str!#REF!+Ele!#REF!+Wat!#REF!+San!#REF!+Ref!#REF!</f>
        <v>#REF!</v>
      </c>
      <c r="H117" s="89" t="e">
        <f>+Cs!#REF!+Fin!#REF!+Rat!#REF!+MM!#REF!+Lib!#REF!+Pry!#REF!+Hal!#REF!+Cem!#REF!+Par!#REF!+EDv!H116+Str!#REF!+Ele!#REF!+Wat!#REF!+San!#REF!+Ref!#REF!</f>
        <v>#REF!</v>
      </c>
      <c r="I117" s="66" t="s">
        <v>2721</v>
      </c>
    </row>
    <row r="118" spans="1:9" x14ac:dyDescent="0.35">
      <c r="A118" s="66" t="s">
        <v>57</v>
      </c>
      <c r="B118" s="66" t="s">
        <v>737</v>
      </c>
      <c r="C118" s="89">
        <f>+Cs!B132+Fin!B132+Rat!B132+MM!B132+Lib!B132+Pry!B132+Hal!B132+Cem!B132+Par!B132+EDv!C117+Str!B132+Ele!B132+Wat!B132+San!B132+Ref!B132</f>
        <v>270000</v>
      </c>
      <c r="D118" s="89">
        <f>+Cs!C132+Fin!C132+Rat!C132+MM!C132+Lib!C132+Pry!C132+Hal!C132+Cem!C132+Par!C132+EDv!D117+Str!C132+Ele!C132+Wat!C132+San!C132+Ref!C132</f>
        <v>270000</v>
      </c>
      <c r="E118" s="89">
        <f>+Cs!D132+Fin!D132+Rat!D132+MM!D132+Lib!D132+Pry!D132+Hal!D132+Cem!D132+Par!D132+EDv!E117+Str!D132+Ele!D132+Wat!D132+San!D132+Ref!D132</f>
        <v>296541.13</v>
      </c>
      <c r="F118" s="89">
        <f>+Cs!E132+Fin!E132+Rat!E132+MM!E132+Lib!E132+Pry!E132+Hal!E132+Cem!E132+Par!E132+EDv!F117+Str!E132+Ele!E132+Wat!E132+San!E132+Ref!E132</f>
        <v>297000</v>
      </c>
      <c r="G118" s="89">
        <f>+Cs!F132+Fin!F132+Rat!F132+MM!F132+Lib!F132+Pry!F132+Hal!F132+Cem!F132+Par!F132+EDv!G117+Str!F132+Ele!F132+Wat!F132+San!F132+Ref!F132</f>
        <v>310600</v>
      </c>
      <c r="H118" s="89">
        <f>+Cs!G132+Fin!G132+Rat!G132+MM!G132+Lib!G132+Pry!G132+Hal!G132+Cem!G132+Par!G132+EDv!H117+Str!G132+Ele!G132+Wat!G132+San!G132+Ref!G132</f>
        <v>324900</v>
      </c>
      <c r="I118" s="66" t="s">
        <v>2729</v>
      </c>
    </row>
    <row r="119" spans="1:9" x14ac:dyDescent="0.35">
      <c r="A119" s="66"/>
      <c r="B119" s="66" t="s">
        <v>58</v>
      </c>
      <c r="C119" s="89">
        <f>+Cs!B133+Fin!B133+Rat!B133+MM!B133+Lib!B133+Pry!B133+Hal!B133+Cem!B133+Par!B133+EDv!C118+Str!B133+Ele!B133+Wat!B133+San!B133+Ref!B133</f>
        <v>8758000</v>
      </c>
      <c r="D119" s="89">
        <f>+Cs!C133+Fin!C133+Rat!C133+MM!C133+Lib!C133+Pry!C133+Hal!C133+Cem!C133+Par!C133+EDv!D118+Str!C133+Ele!C133+Wat!C133+San!C133+Ref!C133</f>
        <v>8167000</v>
      </c>
      <c r="E119" s="89">
        <f>+Cs!D133+Fin!D133+Rat!D133+MM!D133+Lib!D133+Pry!D133+Hal!D133+Cem!D133+Par!D133+EDv!E118+Str!D133+Ele!D133+Wat!D133+San!D133+Ref!D133</f>
        <v>9394440.9100000001</v>
      </c>
      <c r="F119" s="89">
        <f>+Cs!E133+Fin!E133+Rat!E133+MM!E133+Lib!E133+Pry!E133+Hal!E133+Cem!E133+Par!E133+EDv!F118+Str!E133+Ele!E133+Wat!E133+San!E133+Ref!E133</f>
        <v>10380000</v>
      </c>
      <c r="G119" s="89">
        <f>+Cs!F133+Fin!F133+Rat!F133+MM!F133+Lib!F133+Pry!F133+Hal!F133+Cem!F133+Par!F133+EDv!G118+Str!F133+Ele!F133+Wat!F133+San!F133+Ref!F133</f>
        <v>10857500</v>
      </c>
      <c r="H119" s="89">
        <f>+Cs!G133+Fin!G133+Rat!G133+MM!G133+Lib!G133+Pry!G133+Hal!G133+Cem!G133+Par!G133+EDv!H118+Str!G133+Ele!G133+Wat!G133+San!G133+Ref!G133</f>
        <v>11357000</v>
      </c>
      <c r="I119" s="66" t="s">
        <v>2721</v>
      </c>
    </row>
    <row r="120" spans="1:9" x14ac:dyDescent="0.35">
      <c r="A120" s="66"/>
      <c r="B120" s="66" t="s">
        <v>2644</v>
      </c>
      <c r="C120" s="89">
        <f>+Cs!B134+Fin!B134+Rat!B134+MM!B134+Lib!B134+Pry!B134+Hal!B134+Cem!B134+Par!B134+EDv!C119+Str!B134+Ele!B134+Wat!B134+San!B134+Ref!B134</f>
        <v>250000</v>
      </c>
      <c r="D120" s="89">
        <f>+Cs!C134+Fin!C134+Rat!C134+MM!C134+Lib!C134+Pry!C134+Hal!C134+Cem!C134+Par!C134+EDv!D119+Str!C134+Ele!C134+Wat!C134+San!C134+Ref!C134</f>
        <v>250000</v>
      </c>
      <c r="E120" s="89">
        <f>+Cs!D134+Fin!D134+Rat!D134+MM!D134+Lib!D134+Pry!D134+Hal!D134+Cem!D134+Par!D134+EDv!E119+Str!D134+Ele!D134+Wat!D134+San!D134+Ref!D134</f>
        <v>51216</v>
      </c>
      <c r="F120" s="89">
        <f>+Cs!E134+Fin!E134+Rat!E134+MM!E134+Lib!E134+Pry!E134+Hal!E134+Cem!E134+Par!E134+EDv!F119+Str!E134+Ele!E134+Wat!E134+San!E134+Ref!E134</f>
        <v>250000</v>
      </c>
      <c r="G120" s="89">
        <f>+Cs!F134+Fin!F134+Rat!F134+MM!F134+Lib!F134+Pry!F134+Hal!F134+Cem!F134+Par!F134+EDv!G119+Str!F134+Ele!F134+Wat!F134+San!F134+Ref!F134</f>
        <v>263500</v>
      </c>
      <c r="H120" s="89">
        <f>+Cs!G134+Fin!G134+Rat!G134+MM!G134+Lib!G134+Pry!G134+Hal!G134+Cem!G134+Par!G134+EDv!H119+Str!G134+Ele!G134+Wat!G134+San!G134+Ref!G134</f>
        <v>277800</v>
      </c>
      <c r="I120" s="66" t="s">
        <v>2722</v>
      </c>
    </row>
    <row r="121" spans="1:9" x14ac:dyDescent="0.35">
      <c r="A121" s="66" t="s">
        <v>458</v>
      </c>
      <c r="B121" s="66" t="s">
        <v>2657</v>
      </c>
      <c r="C121" s="89">
        <f>+Cs!B135+Fin!B135+Rat!B135+MM!B135+Lib!B135+Pry!B135+Hal!B135+Cem!B135+Par!B135+EDv!C120+Str!B135+Ele!B135+Wat!B135+San!B135+Ref!B135</f>
        <v>35600</v>
      </c>
      <c r="D121" s="89">
        <f>+Cs!C135+Fin!C135+Rat!C135+MM!C135+Lib!C135+Pry!C135+Hal!C135+Cem!C135+Par!C135+EDv!D120+Str!C135+Ele!C135+Wat!C135+San!C135+Ref!C135</f>
        <v>35600</v>
      </c>
      <c r="E121" s="89">
        <f>+Cs!D135+Fin!D135+Rat!D135+MM!D135+Lib!D135+Pry!D135+Hal!D135+Cem!D135+Par!D135+EDv!E120+Str!D135+Ele!D135+Wat!D135+San!D135+Ref!D135</f>
        <v>42496.34</v>
      </c>
      <c r="F121" s="89">
        <f>+Cs!E135+Fin!E135+Rat!E135+MM!E135+Lib!E135+Pry!E135+Hal!E135+Cem!E135+Par!E135+EDv!F120+Str!E135+Ele!E135+Wat!E135+San!E135+Ref!E135</f>
        <v>45700</v>
      </c>
      <c r="G121" s="89">
        <f>+Cs!F135+Fin!F135+Rat!F135+MM!F135+Lib!F135+Pry!F135+Hal!F135+Cem!F135+Par!F135+EDv!G120+Str!F135+Ele!F135+Wat!F135+San!F135+Ref!F135</f>
        <v>48000</v>
      </c>
      <c r="H121" s="89">
        <f>+Cs!G135+Fin!G135+Rat!G135+MM!G135+Lib!G135+Pry!G135+Hal!G135+Cem!G135+Par!G135+EDv!H120+Str!G135+Ele!G135+Wat!G135+San!G135+Ref!G135</f>
        <v>51000</v>
      </c>
      <c r="I121" s="66" t="s">
        <v>2722</v>
      </c>
    </row>
    <row r="122" spans="1:9" x14ac:dyDescent="0.35">
      <c r="A122" s="66" t="s">
        <v>229</v>
      </c>
      <c r="B122" s="66" t="s">
        <v>459</v>
      </c>
      <c r="C122" s="89">
        <f>+Cs!B136+Fin!B136+Rat!B136+MM!B136+Lib!B136+Pry!B136+Hal!B136+Cem!B136+Par!B136+EDv!C121+Str!B136+Ele!B136+Wat!B136+San!B136+Ref!B136</f>
        <v>0</v>
      </c>
      <c r="D122" s="89">
        <f>+Cs!C136+Fin!C136+Rat!C136+MM!C136+Lib!C136+Pry!C136+Hal!C136+Cem!C136+Par!C136+EDv!D121+Str!C136+Ele!C136+Wat!C136+San!C136+Ref!C136</f>
        <v>0</v>
      </c>
      <c r="E122" s="89">
        <f>+Cs!D136+Fin!D136+Rat!D136+MM!D136+Lib!D136+Pry!D136+Hal!D136+Cem!D136+Par!D136+EDv!E121+Str!D136+Ele!D136+Wat!D136+San!D136+Ref!D136</f>
        <v>0</v>
      </c>
      <c r="F122" s="89">
        <f>+Cs!E136+Fin!E136+Rat!E136+MM!E136+Lib!E136+Pry!E136+Hal!E136+Cem!E136+Par!E136+EDv!F121+Str!E136+Ele!E136+Wat!E136+San!E136+Ref!E136</f>
        <v>0</v>
      </c>
      <c r="G122" s="89">
        <f>+Cs!F136+Fin!F136+Rat!F136+MM!F136+Lib!F136+Pry!F136+Hal!F136+Cem!F136+Par!F136+EDv!G121+Str!F136+Ele!F136+Wat!F136+San!F136+Ref!F136</f>
        <v>0</v>
      </c>
      <c r="H122" s="89">
        <f>+Cs!G136+Fin!G136+Rat!G136+MM!G136+Lib!G136+Pry!G136+Hal!G136+Cem!G136+Par!G136+EDv!H121+Str!G136+Ele!G136+Wat!G136+San!G136+Ref!G136</f>
        <v>0</v>
      </c>
      <c r="I122" s="66" t="s">
        <v>2722</v>
      </c>
    </row>
    <row r="123" spans="1:9" x14ac:dyDescent="0.35">
      <c r="A123" s="66" t="s">
        <v>231</v>
      </c>
      <c r="B123" s="66" t="s">
        <v>230</v>
      </c>
      <c r="C123" s="89" t="e">
        <f>+Cs!#REF!+Fin!#REF!+Rat!#REF!+MM!#REF!+Lib!#REF!+Pry!#REF!+Hal!#REF!+Cem!#REF!+Par!#REF!+EDv!C122+Str!#REF!+Ele!#REF!+Wat!#REF!+San!#REF!+Ref!#REF!</f>
        <v>#REF!</v>
      </c>
      <c r="D123" s="89" t="e">
        <f>+Cs!#REF!+Fin!#REF!+Rat!#REF!+MM!#REF!+Lib!#REF!+Pry!#REF!+Hal!#REF!+Cem!#REF!+Par!#REF!+EDv!D122+Str!#REF!+Ele!#REF!+Wat!#REF!+San!#REF!+Ref!#REF!</f>
        <v>#REF!</v>
      </c>
      <c r="E123" s="89" t="e">
        <f>+Cs!#REF!+Fin!#REF!+Rat!#REF!+MM!#REF!+Lib!#REF!+Pry!#REF!+Hal!#REF!+Cem!#REF!+Par!#REF!+EDv!E122+Str!#REF!+Ele!#REF!+Wat!#REF!+San!#REF!+Ref!#REF!</f>
        <v>#REF!</v>
      </c>
      <c r="F123" s="89" t="e">
        <f>+Cs!#REF!+Fin!#REF!+Rat!#REF!+MM!#REF!+Lib!#REF!+Pry!#REF!+Hal!#REF!+Cem!#REF!+Par!#REF!+EDv!F122+Str!#REF!+Ele!#REF!+Wat!#REF!+San!#REF!+Ref!#REF!</f>
        <v>#REF!</v>
      </c>
      <c r="G123" s="89" t="e">
        <f>+Cs!#REF!+Fin!#REF!+Rat!#REF!+MM!#REF!+Lib!#REF!+Pry!#REF!+Hal!#REF!+Cem!#REF!+Par!#REF!+EDv!G122+Str!#REF!+Ele!#REF!+Wat!#REF!+San!#REF!+Ref!#REF!</f>
        <v>#REF!</v>
      </c>
      <c r="H123" s="89" t="e">
        <f>+Cs!#REF!+Fin!#REF!+Rat!#REF!+MM!#REF!+Lib!#REF!+Pry!#REF!+Hal!#REF!+Cem!#REF!+Par!#REF!+EDv!H122+Str!#REF!+Ele!#REF!+Wat!#REF!+San!#REF!+Ref!#REF!</f>
        <v>#REF!</v>
      </c>
      <c r="I123" s="66" t="s">
        <v>2722</v>
      </c>
    </row>
    <row r="124" spans="1:9" x14ac:dyDescent="0.35">
      <c r="A124" s="66" t="s">
        <v>758</v>
      </c>
      <c r="B124" s="66" t="s">
        <v>232</v>
      </c>
      <c r="C124" s="89">
        <f>+Cs!B137+Fin!B137+Rat!B137+MM!B137+Lib!B137+Pry!B137+Hal!B137+Cem!B137+Par!B137+EDv!C123+Str!B137+Ele!B137+Wat!B137+San!B137+Ref!B137</f>
        <v>240000</v>
      </c>
      <c r="D124" s="89">
        <f>+Cs!C137+Fin!C137+Rat!C137+MM!C137+Lib!C137+Pry!C137+Hal!C137+Cem!C137+Par!C137+EDv!D123+Str!C137+Ele!C137+Wat!C137+San!C137+Ref!C137</f>
        <v>240000</v>
      </c>
      <c r="E124" s="89">
        <f>+Cs!D137+Fin!D137+Rat!D137+MM!D137+Lib!D137+Pry!D137+Hal!D137+Cem!D137+Par!D137+EDv!E123+Str!D137+Ele!D137+Wat!D137+San!D137+Ref!D137</f>
        <v>214318.62</v>
      </c>
      <c r="F124" s="89">
        <f>+Cs!E137+Fin!E137+Rat!E137+MM!E137+Lib!E137+Pry!E137+Hal!E137+Cem!E137+Par!E137+EDv!F123+Str!E137+Ele!E137+Wat!E137+San!E137+Ref!E137</f>
        <v>240000</v>
      </c>
      <c r="G124" s="89">
        <f>+Cs!F137+Fin!F137+Rat!F137+MM!F137+Lib!F137+Pry!F137+Hal!F137+Cem!F137+Par!F137+EDv!G123+Str!F137+Ele!F137+Wat!F137+San!F137+Ref!F137</f>
        <v>252900</v>
      </c>
      <c r="H124" s="89">
        <f>+Cs!G137+Fin!G137+Rat!G137+MM!G137+Lib!G137+Pry!G137+Hal!G137+Cem!G137+Par!G137+EDv!H123+Str!G137+Ele!G137+Wat!G137+San!G137+Ref!G137</f>
        <v>266600</v>
      </c>
      <c r="I124" s="66" t="s">
        <v>2722</v>
      </c>
    </row>
    <row r="125" spans="1:9" x14ac:dyDescent="0.35">
      <c r="A125" s="66" t="s">
        <v>101</v>
      </c>
      <c r="B125" s="66" t="s">
        <v>2607</v>
      </c>
      <c r="C125" s="89">
        <f>+Cs!B138+Fin!B138+Rat!B138+MM!B138+Lib!B138+Pry!B138+Hal!B138+Cem!B138+Par!B138+EDv!C124+Str!B138+Ele!B138+Wat!B138+San!B138+Ref!B138</f>
        <v>52000</v>
      </c>
      <c r="D125" s="89">
        <f>+Cs!C138+Fin!C138+Rat!C138+MM!C138+Lib!C138+Pry!C138+Hal!C138+Cem!C138+Par!C138+EDv!D124+Str!C138+Ele!C138+Wat!C138+San!C138+Ref!C138</f>
        <v>52000</v>
      </c>
      <c r="E125" s="89">
        <f>+Cs!D138+Fin!D138+Rat!D138+MM!D138+Lib!D138+Pry!D138+Hal!D138+Cem!D138+Par!D138+EDv!E124+Str!D138+Ele!D138+Wat!D138+San!D138+Ref!D138</f>
        <v>19817.650000000001</v>
      </c>
      <c r="F125" s="89">
        <f>+Cs!E138+Fin!E138+Rat!E138+MM!E138+Lib!E138+Pry!E138+Hal!E138+Cem!E138+Par!E138+EDv!F124+Str!E138+Ele!E138+Wat!E138+San!E138+Ref!E138</f>
        <v>52000</v>
      </c>
      <c r="G125" s="89">
        <f>+Cs!F138+Fin!F138+Rat!F138+MM!F138+Lib!F138+Pry!F138+Hal!F138+Cem!F138+Par!F138+EDv!G124+Str!F138+Ele!F138+Wat!F138+San!F138+Ref!F138</f>
        <v>54800</v>
      </c>
      <c r="H125" s="89">
        <f>+Cs!G138+Fin!G138+Rat!G138+MM!G138+Lib!G138+Pry!G138+Hal!G138+Cem!G138+Par!G138+EDv!H124+Str!G138+Ele!G138+Wat!G138+San!G138+Ref!G138</f>
        <v>57800</v>
      </c>
      <c r="I125" s="66" t="s">
        <v>2722</v>
      </c>
    </row>
    <row r="126" spans="1:9" x14ac:dyDescent="0.35">
      <c r="A126" s="66" t="s">
        <v>635</v>
      </c>
      <c r="B126" s="66" t="s">
        <v>2660</v>
      </c>
      <c r="C126" s="89" t="e">
        <f>+Cs!#REF!+Fin!#REF!+Rat!#REF!+MM!#REF!+Lib!#REF!+Pry!#REF!+Hal!#REF!+Cem!#REF!+Par!#REF!+EDv!C125+Str!#REF!+Ele!#REF!+Wat!#REF!+San!#REF!+Ref!#REF!</f>
        <v>#REF!</v>
      </c>
      <c r="D126" s="89" t="e">
        <f>+Cs!#REF!+Fin!#REF!+Rat!#REF!+MM!#REF!+Lib!#REF!+Pry!#REF!+Hal!#REF!+Cem!#REF!+Par!#REF!+EDv!D125+Str!#REF!+Ele!#REF!+Wat!#REF!+San!#REF!+Ref!#REF!</f>
        <v>#REF!</v>
      </c>
      <c r="E126" s="89" t="e">
        <f>+Cs!#REF!+Fin!#REF!+Rat!#REF!+MM!#REF!+Lib!#REF!+Pry!#REF!+Hal!#REF!+Cem!#REF!+Par!#REF!+EDv!E125+Str!#REF!+Ele!#REF!+Wat!#REF!+San!#REF!+Ref!#REF!</f>
        <v>#REF!</v>
      </c>
      <c r="F126" s="89" t="e">
        <f>+Cs!#REF!+Fin!#REF!+Rat!#REF!+MM!#REF!+Lib!#REF!+Pry!#REF!+Hal!#REF!+Cem!#REF!+Par!#REF!+EDv!F125+Str!#REF!+Ele!#REF!+Wat!#REF!+San!#REF!+Ref!#REF!</f>
        <v>#REF!</v>
      </c>
      <c r="G126" s="89" t="e">
        <f>+Cs!#REF!+Fin!#REF!+Rat!#REF!+MM!#REF!+Lib!#REF!+Pry!#REF!+Hal!#REF!+Cem!#REF!+Par!#REF!+EDv!G125+Str!#REF!+Ele!#REF!+Wat!#REF!+San!#REF!+Ref!#REF!</f>
        <v>#REF!</v>
      </c>
      <c r="H126" s="89" t="e">
        <f>+Cs!#REF!+Fin!#REF!+Rat!#REF!+MM!#REF!+Lib!#REF!+Pry!#REF!+Hal!#REF!+Cem!#REF!+Par!#REF!+EDv!H125+Str!#REF!+Ele!#REF!+Wat!#REF!+San!#REF!+Ref!#REF!</f>
        <v>#REF!</v>
      </c>
      <c r="I126" s="66" t="s">
        <v>2722</v>
      </c>
    </row>
    <row r="127" spans="1:9" x14ac:dyDescent="0.35">
      <c r="A127" s="66" t="s">
        <v>235</v>
      </c>
      <c r="B127" s="66" t="s">
        <v>636</v>
      </c>
      <c r="C127" s="89">
        <f>+Cs!B140+Fin!B140+Rat!B140+MM!B140+Lib!B140+Pry!B140+Hal!B140+Cem!B140+Par!B140+EDv!C126+Str!B140+Ele!B140+Wat!B140+San!B140+Ref!B140</f>
        <v>40000</v>
      </c>
      <c r="D127" s="89">
        <f>+Cs!C140+Fin!C140+Rat!C140+MM!C140+Lib!C140+Pry!C140+Hal!C140+Cem!C140+Par!C140+EDv!D126+Str!C140+Ele!C140+Wat!C140+San!C140+Ref!C140</f>
        <v>40000</v>
      </c>
      <c r="E127" s="89">
        <f>+Cs!D140+Fin!D140+Rat!D140+MM!D140+Lib!D140+Pry!D140+Hal!D140+Cem!D140+Par!D140+EDv!E126+Str!D140+Ele!D140+Wat!D140+San!D140+Ref!D140</f>
        <v>11516.67</v>
      </c>
      <c r="F127" s="89">
        <f>+Cs!E140+Fin!E140+Rat!E140+MM!E140+Lib!E140+Pry!E140+Hal!E140+Cem!E140+Par!E140+EDv!F126+Str!E140+Ele!E140+Wat!E140+San!E140+Ref!E140</f>
        <v>12000</v>
      </c>
      <c r="G127" s="89">
        <f>+Cs!F140+Fin!F140+Rat!F140+MM!F140+Lib!F140+Pry!F140+Hal!F140+Cem!F140+Par!F140+EDv!G126+Str!F140+Ele!F140+Wat!F140+San!F140+Ref!F140</f>
        <v>12000</v>
      </c>
      <c r="H127" s="89">
        <f>+Cs!G140+Fin!G140+Rat!G140+MM!G140+Lib!G140+Pry!G140+Hal!G140+Cem!G140+Par!G140+EDv!H126+Str!G140+Ele!G140+Wat!G140+San!G140+Ref!G140</f>
        <v>12000</v>
      </c>
      <c r="I127" s="66" t="s">
        <v>2722</v>
      </c>
    </row>
    <row r="128" spans="1:9" x14ac:dyDescent="0.35">
      <c r="A128" s="66"/>
      <c r="B128" s="66" t="s">
        <v>2761</v>
      </c>
      <c r="C128" s="89">
        <f>+Cs!B142+Fin!B142+Rat!B142+MM!B142+Lib!B142+Pry!B142+Hal!B142+Cem!B142+Par!B142+EDv!C127+Str!B142+Ele!B142+Wat!B142+San!B142+Ref!B142</f>
        <v>3000</v>
      </c>
      <c r="D128" s="89">
        <f>+Cs!C142+Fin!C142+Rat!C142+MM!C142+Lib!C142+Pry!C142+Hal!C142+Cem!C142+Par!C142+EDv!D127+Str!C142+Ele!C142+Wat!C142+San!C142+Ref!C142</f>
        <v>3000</v>
      </c>
      <c r="E128" s="89">
        <f>+Cs!D142+Fin!D142+Rat!D142+MM!D142+Lib!D142+Pry!D142+Hal!D142+Cem!D142+Par!D142+EDv!E127+Str!D142+Ele!D142+Wat!D142+San!D142+Ref!D142</f>
        <v>0</v>
      </c>
      <c r="F128" s="89">
        <f>+Cs!E142+Fin!E142+Rat!E142+MM!E142+Lib!E142+Pry!E142+Hal!E142+Cem!E142+Par!E142+EDv!F127+Str!E142+Ele!E142+Wat!E142+San!E142+Ref!E142</f>
        <v>36000</v>
      </c>
      <c r="G128" s="89">
        <f>+Cs!F142+Fin!F142+Rat!F142+MM!F142+Lib!F142+Pry!F142+Hal!F142+Cem!F142+Par!F142+EDv!G127+Str!F142+Ele!F142+Wat!F142+San!F142+Ref!F142</f>
        <v>37600</v>
      </c>
      <c r="H128" s="89">
        <f>+Cs!G142+Fin!G142+Rat!G142+MM!G142+Lib!G142+Pry!G142+Hal!G142+Cem!G142+Par!G142+EDv!H127+Str!G142+Ele!G142+Wat!G142+San!G142+Ref!G142</f>
        <v>39400</v>
      </c>
      <c r="I128" s="66" t="s">
        <v>2722</v>
      </c>
    </row>
    <row r="129" spans="1:9" x14ac:dyDescent="0.35">
      <c r="A129" s="66" t="s">
        <v>77</v>
      </c>
      <c r="B129" s="66" t="s">
        <v>2636</v>
      </c>
      <c r="C129" s="89" t="e">
        <f>+Cs!#REF!+Fin!#REF!+Rat!#REF!+MM!#REF!+Lib!#REF!+Pry!#REF!+Hal!#REF!+Cem!#REF!+Par!#REF!+EDv!C128+Str!#REF!+Ele!#REF!+Wat!#REF!+San!#REF!+Ref!#REF!</f>
        <v>#REF!</v>
      </c>
      <c r="D129" s="89" t="e">
        <f>+Cs!#REF!+Fin!#REF!+Rat!#REF!+MM!#REF!+Lib!#REF!+Pry!#REF!+Hal!#REF!+Cem!#REF!+Par!#REF!+EDv!D128+Str!#REF!+Ele!#REF!+Wat!#REF!+San!#REF!+Ref!#REF!</f>
        <v>#REF!</v>
      </c>
      <c r="E129" s="89" t="e">
        <f>+Cs!#REF!+Fin!#REF!+Rat!#REF!+MM!#REF!+Lib!#REF!+Pry!#REF!+Hal!#REF!+Cem!#REF!+Par!#REF!+EDv!E128+Str!#REF!+Ele!#REF!+Wat!#REF!+San!#REF!+Ref!#REF!</f>
        <v>#REF!</v>
      </c>
      <c r="F129" s="89" t="e">
        <f>+Cs!#REF!+Fin!#REF!+Rat!#REF!+MM!#REF!+Lib!#REF!+Pry!#REF!+Hal!#REF!+Cem!#REF!+Par!#REF!+EDv!F128+Str!#REF!+Ele!#REF!+Wat!#REF!+San!#REF!+Ref!#REF!</f>
        <v>#REF!</v>
      </c>
      <c r="G129" s="89" t="e">
        <f>+Cs!#REF!+Fin!#REF!+Rat!#REF!+MM!#REF!+Lib!#REF!+Pry!#REF!+Hal!#REF!+Cem!#REF!+Par!#REF!+EDv!G128+Str!#REF!+Ele!#REF!+Wat!#REF!+San!#REF!+Ref!#REF!</f>
        <v>#REF!</v>
      </c>
      <c r="H129" s="89" t="e">
        <f>+Cs!#REF!+Fin!#REF!+Rat!#REF!+MM!#REF!+Lib!#REF!+Pry!#REF!+Hal!#REF!+Cem!#REF!+Par!#REF!+EDv!H128+Str!#REF!+Ele!#REF!+Wat!#REF!+San!#REF!+Ref!#REF!</f>
        <v>#REF!</v>
      </c>
      <c r="I129" s="66" t="s">
        <v>2722</v>
      </c>
    </row>
    <row r="130" spans="1:9" x14ac:dyDescent="0.35">
      <c r="A130" s="66" t="s">
        <v>540</v>
      </c>
      <c r="B130" s="66" t="s">
        <v>78</v>
      </c>
      <c r="C130" s="89">
        <f>+Cs!B143+Fin!B143+Rat!B143+MM!B143+Lib!B143+Pry!B143+Hal!B143+Cem!B143+Par!B143+EDv!C129+Str!B143+Ele!B143+Wat!B143+San!B143+Ref!B143</f>
        <v>0</v>
      </c>
      <c r="D130" s="89">
        <f>+Cs!C143+Fin!C143+Rat!C143+MM!C143+Lib!C143+Pry!C143+Hal!C143+Cem!C143+Par!C143+EDv!D129+Str!C143+Ele!C143+Wat!C143+San!C143+Ref!C143</f>
        <v>0</v>
      </c>
      <c r="E130" s="89">
        <f>+Cs!D143+Fin!D143+Rat!D143+MM!D143+Lib!D143+Pry!D143+Hal!D143+Cem!D143+Par!D143+EDv!E129+Str!D143+Ele!D143+Wat!D143+San!D143+Ref!D143</f>
        <v>0</v>
      </c>
      <c r="F130" s="89">
        <f>+Cs!E143+Fin!E143+Rat!E143+MM!E143+Lib!E143+Pry!E143+Hal!E143+Cem!E143+Par!E143+EDv!F129+Str!E143+Ele!E143+Wat!E143+San!E143+Ref!E143</f>
        <v>0</v>
      </c>
      <c r="G130" s="89">
        <f>+Cs!F143+Fin!F143+Rat!F143+MM!F143+Lib!F143+Pry!F143+Hal!F143+Cem!F143+Par!F143+EDv!G129+Str!F143+Ele!F143+Wat!F143+San!F143+Ref!F143</f>
        <v>0</v>
      </c>
      <c r="H130" s="89">
        <f>+Cs!G143+Fin!G143+Rat!G143+MM!G143+Lib!G143+Pry!G143+Hal!G143+Cem!G143+Par!G143+EDv!H129+Str!G143+Ele!G143+Wat!G143+San!G143+Ref!G143</f>
        <v>0</v>
      </c>
      <c r="I130" s="66" t="s">
        <v>2722</v>
      </c>
    </row>
    <row r="131" spans="1:9" x14ac:dyDescent="0.35">
      <c r="A131" s="66" t="s">
        <v>308</v>
      </c>
      <c r="B131" s="66" t="s">
        <v>2759</v>
      </c>
      <c r="C131" s="89">
        <f>+Cs!B151+Fin!B151+Rat!B151+MM!B151+Lib!B151+Pry!B151+Hal!B151+Cem!B151+Par!B151+EDv!C133+Str!B151+Ele!B151+Wat!B151+San!B151+Ref!B151</f>
        <v>50000</v>
      </c>
      <c r="D131" s="89">
        <f>+Cs!C151+Fin!C151+Rat!C151+MM!C151+Lib!C151+Pry!C151+Hal!C151+Cem!C151+Par!C151+EDv!D133+Str!C151+Ele!C151+Wat!C151+San!C151+Ref!C151</f>
        <v>45000</v>
      </c>
      <c r="E131" s="89">
        <f>+Cs!D151+Fin!D151+Rat!D151+MM!D151+Lib!D151+Pry!D151+Hal!D151+Cem!D151+Par!D151+EDv!E133+Str!D151+Ele!D151+Wat!D151+San!D151+Ref!D151</f>
        <v>79816.28</v>
      </c>
      <c r="F131" s="89">
        <f>+Cs!E151+Fin!E151+Rat!E151+MM!E151+Lib!E151+Pry!E151+Hal!E151+Cem!E151+Par!E151+EDv!F133+Str!E151+Ele!E151+Wat!E151+San!E151+Ref!E151</f>
        <v>85000</v>
      </c>
      <c r="G131" s="89">
        <f>+Cs!F151+Fin!F151+Rat!F151+MM!F151+Lib!F151+Pry!F151+Hal!F151+Cem!F151+Par!F151+EDv!G133+Str!F151+Ele!F151+Wat!F151+San!F151+Ref!F151</f>
        <v>88900</v>
      </c>
      <c r="H131" s="89">
        <f>+Cs!G151+Fin!G151+Rat!G151+MM!G151+Lib!G151+Pry!G151+Hal!G151+Cem!G151+Par!G151+EDv!H133+Str!G151+Ele!G151+Wat!G151+San!G151+Ref!G151</f>
        <v>92900</v>
      </c>
      <c r="I131" s="66" t="s">
        <v>2723</v>
      </c>
    </row>
    <row r="132" spans="1:9" x14ac:dyDescent="0.35">
      <c r="A132" s="66"/>
      <c r="B132" s="66" t="s">
        <v>541</v>
      </c>
      <c r="C132" s="89">
        <f>+Cs!B144+Fin!B144+Rat!B144+MM!B144+Lib!B144+Pry!B144+Hal!B144+Cem!B144+Par!B144+EDv!C130+Str!B144+Ele!B144+Wat!B144+San!B144+Ref!B144</f>
        <v>472000</v>
      </c>
      <c r="D132" s="89">
        <f>+Cs!C144+Fin!C144+Rat!C144+MM!C144+Lib!C144+Pry!C144+Hal!C144+Cem!C144+Par!C144+EDv!D130+Str!C144+Ele!C144+Wat!C144+San!C144+Ref!C144</f>
        <v>472000</v>
      </c>
      <c r="E132" s="89">
        <f>+Cs!D144+Fin!D144+Rat!D144+MM!D144+Lib!D144+Pry!D144+Hal!D144+Cem!D144+Par!D144+EDv!E130+Str!D144+Ele!D144+Wat!D144+San!D144+Ref!D144</f>
        <v>469833.54</v>
      </c>
      <c r="F132" s="89">
        <f>+Cs!E144+Fin!E144+Rat!E144+MM!E144+Lib!E144+Pry!E144+Hal!E144+Cem!E144+Par!E144+EDv!F130+Str!E144+Ele!E144+Wat!E144+San!E144+Ref!E144</f>
        <v>492000</v>
      </c>
      <c r="G132" s="89">
        <f>+Cs!F144+Fin!F144+Rat!F144+MM!F144+Lib!F144+Pry!F144+Hal!F144+Cem!F144+Par!F144+EDv!G130+Str!F144+Ele!F144+Wat!F144+San!F144+Ref!F144</f>
        <v>514600</v>
      </c>
      <c r="H132" s="89">
        <f>+Cs!G144+Fin!G144+Rat!G144+MM!G144+Lib!G144+Pry!G144+Hal!G144+Cem!G144+Par!G144+EDv!H130+Str!G144+Ele!G144+Wat!G144+San!G144+Ref!G144</f>
        <v>538300</v>
      </c>
      <c r="I132" s="66" t="s">
        <v>2722</v>
      </c>
    </row>
    <row r="133" spans="1:9" x14ac:dyDescent="0.35">
      <c r="A133" s="66"/>
      <c r="B133" s="66" t="s">
        <v>309</v>
      </c>
      <c r="C133" s="89">
        <f>+Cs!B145+Fin!B145+Rat!B145+MM!B145+Lib!B145+Pry!B145+Hal!B145+Cem!B145+Par!B145+EDv!C131+Str!B145+Ele!B145+Wat!B145+San!B145+Ref!B145</f>
        <v>24000</v>
      </c>
      <c r="D133" s="89">
        <f>+Cs!C145+Fin!C145+Rat!C145+MM!C145+Lib!C145+Pry!C145+Hal!C145+Cem!C145+Par!C145+EDv!D131+Str!C145+Ele!C145+Wat!C145+San!C145+Ref!C145</f>
        <v>24000</v>
      </c>
      <c r="E133" s="89">
        <f>+Cs!D145+Fin!D145+Rat!D145+MM!D145+Lib!D145+Pry!D145+Hal!D145+Cem!D145+Par!D145+EDv!E131+Str!D145+Ele!D145+Wat!D145+San!D145+Ref!D145</f>
        <v>19874.95</v>
      </c>
      <c r="F133" s="89">
        <f>+Cs!E145+Fin!E145+Rat!E145+MM!E145+Lib!E145+Pry!E145+Hal!E145+Cem!E145+Par!E145+EDv!F131+Str!E145+Ele!E145+Wat!E145+San!E145+Ref!E145</f>
        <v>24000</v>
      </c>
      <c r="G133" s="89">
        <f>+Cs!F145+Fin!F145+Rat!F145+MM!F145+Lib!F145+Pry!F145+Hal!F145+Cem!F145+Par!F145+EDv!G131+Str!F145+Ele!F145+Wat!F145+San!F145+Ref!F145</f>
        <v>25300</v>
      </c>
      <c r="H133" s="89">
        <f>+Cs!G145+Fin!G145+Rat!G145+MM!G145+Lib!G145+Pry!G145+Hal!G145+Cem!G145+Par!G145+EDv!H131+Str!G145+Ele!G145+Wat!G145+San!G145+Ref!G145</f>
        <v>26700</v>
      </c>
      <c r="I133" s="66" t="s">
        <v>2722</v>
      </c>
    </row>
    <row r="134" spans="1:9" x14ac:dyDescent="0.35">
      <c r="A134" s="66" t="s">
        <v>762</v>
      </c>
      <c r="B134" s="66" t="s">
        <v>2646</v>
      </c>
      <c r="C134" s="89">
        <f>+Cs!B146+Fin!B149+Rat!B146+MM!B146+Lib!B146+Pry!B146+Hal!B146+Cem!B146+Par!B146+EDv!C132+Str!B146+Ele!B146+Wat!B146+San!B146+Ref!B146</f>
        <v>9000</v>
      </c>
      <c r="D134" s="89">
        <f>+Cs!C146+Fin!C149+Rat!C146+MM!C146+Lib!C146+Pry!C146+Hal!C146+Cem!C146+Par!C146+EDv!D132+Str!C146+Ele!C146+Wat!C146+San!C146+Ref!C146</f>
        <v>9000</v>
      </c>
      <c r="E134" s="89">
        <f>+Cs!D146+Fin!D149+Rat!D146+MM!D146+Lib!D146+Pry!D146+Hal!D146+Cem!D146+Par!D146+EDv!E132+Str!D146+Ele!D146+Wat!D146+San!D146+Ref!D146</f>
        <v>9000</v>
      </c>
      <c r="F134" s="89">
        <f>+Cs!E146+Fin!E146+Rat!E146+MM!E146+Lib!E146+Pry!E146+Hal!E146+Cem!E146+Par!E146+EDv!F132+Str!E146+Ele!E146+Wat!E146+San!E146+Ref!E146</f>
        <v>290000</v>
      </c>
      <c r="G134" s="89">
        <f>+Cs!F146+Fin!F146+Rat!F146+MM!F146+Lib!F146+Pry!F146+Hal!F146+Cem!F146+Par!F146+EDv!G132+Str!F146+Ele!F146+Wat!F146+San!F146+Ref!F146</f>
        <v>303400</v>
      </c>
      <c r="H134" s="89">
        <f>+Cs!G146+Fin!G146+Rat!G146+MM!G146+Lib!G146+Pry!G146+Hal!G146+Cem!G146+Par!G146+EDv!H132+Str!G146+Ele!G146+Wat!G146+San!G146+Ref!G146</f>
        <v>317400</v>
      </c>
      <c r="I134" s="66" t="s">
        <v>2723</v>
      </c>
    </row>
    <row r="135" spans="1:9" x14ac:dyDescent="0.35">
      <c r="A135" s="66" t="s">
        <v>838</v>
      </c>
      <c r="B135" s="66" t="s">
        <v>124</v>
      </c>
      <c r="C135" s="89" t="e">
        <f>+Cs!#REF!+Fin!#REF!+Rat!#REF!+MM!#REF!+Lib!#REF!+Pry!#REF!+Hal!#REF!+Cem!#REF!+Par!#REF!+EDv!C134+Str!#REF!+Ele!#REF!+Wat!#REF!+San!#REF!+Ref!#REF!</f>
        <v>#REF!</v>
      </c>
      <c r="D135" s="89" t="e">
        <f>+Cs!#REF!+Fin!#REF!+Rat!#REF!+MM!#REF!+Lib!#REF!+Pry!#REF!+Hal!#REF!+Cem!#REF!+Par!#REF!+EDv!D134+Str!#REF!+Ele!#REF!+Wat!#REF!+San!#REF!+Ref!#REF!</f>
        <v>#REF!</v>
      </c>
      <c r="E135" s="89" t="e">
        <f>+Cs!#REF!+Fin!#REF!+Rat!#REF!+MM!#REF!+Lib!#REF!+Pry!#REF!+Hal!#REF!+Cem!#REF!+Par!#REF!+EDv!E134+Str!#REF!+Ele!#REF!+Wat!#REF!+San!#REF!+Ref!#REF!</f>
        <v>#REF!</v>
      </c>
      <c r="F135" s="89" t="e">
        <f>+Cs!#REF!+Fin!#REF!+Rat!#REF!+MM!#REF!+Lib!#REF!+Pry!#REF!+Hal!#REF!+Cem!#REF!+Par!#REF!+EDv!F134+Str!#REF!+Ele!#REF!+Wat!#REF!+San!#REF!+Ref!#REF!</f>
        <v>#REF!</v>
      </c>
      <c r="G135" s="89" t="e">
        <f>+Cs!#REF!+Fin!#REF!+Rat!#REF!+MM!#REF!+Lib!#REF!+Pry!#REF!+Hal!#REF!+Cem!#REF!+Par!#REF!+EDv!G134+Str!#REF!+Ele!#REF!+Wat!#REF!+San!#REF!+Ref!#REF!</f>
        <v>#REF!</v>
      </c>
      <c r="H135" s="89" t="e">
        <f>+Cs!#REF!+Fin!#REF!+Rat!#REF!+MM!#REF!+Lib!#REF!+Pry!#REF!+Hal!#REF!+Cem!#REF!+Par!#REF!+EDv!H134+Str!#REF!+Ele!#REF!+Wat!#REF!+San!#REF!+Ref!#REF!</f>
        <v>#REF!</v>
      </c>
      <c r="I135" s="66" t="s">
        <v>2724</v>
      </c>
    </row>
    <row r="136" spans="1:9" x14ac:dyDescent="0.35">
      <c r="A136" s="66" t="s">
        <v>55</v>
      </c>
      <c r="B136" s="66" t="s">
        <v>298</v>
      </c>
      <c r="C136" s="89">
        <f>+Cs!B152+Fin!B152+Rat!B152+MM!B152+Lib!B152+Pry!B152+Hal!B152+Cem!B152+Par!B152+EDv!C135+Str!B152+Ele!B152+Wat!B152+San!B152+Ref!B152</f>
        <v>655000</v>
      </c>
      <c r="D136" s="89">
        <f>+Cs!C152+Fin!C152+Rat!C152+MM!C152+Lib!C152+Pry!C152+Hal!C152+Cem!C152+Par!C152+EDv!D135+Str!C152+Ele!C152+Wat!C152+San!C152+Ref!C152</f>
        <v>655000</v>
      </c>
      <c r="E136" s="89">
        <f>+Cs!D152+Fin!D152+Rat!D152+MM!D152+Lib!D152+Pry!D152+Hal!D152+Cem!D152+Par!D152+EDv!E135+Str!D152+Ele!D152+Wat!D152+San!D152+Ref!D152</f>
        <v>619512.6</v>
      </c>
      <c r="F136" s="89">
        <f>+Cs!E152+Fin!E152+Rat!E152+MM!E152+Lib!E152+Pry!E152+Hal!E152+Cem!E152+Par!E152+EDv!F135+Str!E152+Ele!E152+Wat!E152+San!E152+Ref!E152</f>
        <v>655000</v>
      </c>
      <c r="G136" s="89">
        <f>+Cs!F152+Fin!F152+Rat!F152+MM!F152+Lib!F152+Pry!F152+Hal!F152+Cem!F152+Par!F152+EDv!G135+Str!F152+Ele!F152+Wat!F152+San!F152+Ref!F152</f>
        <v>780000</v>
      </c>
      <c r="H136" s="89">
        <f>+Cs!G152+Fin!G152+Rat!G152+MM!G152+Lib!G152+Pry!G152+Hal!G152+Cem!G152+Par!G152+EDv!H135+Str!G152+Ele!G152+Wat!G152+San!G152+Ref!G152</f>
        <v>822200</v>
      </c>
      <c r="I136" s="66" t="s">
        <v>2722</v>
      </c>
    </row>
    <row r="137" spans="1:9" x14ac:dyDescent="0.35">
      <c r="A137" s="66" t="s">
        <v>99</v>
      </c>
      <c r="B137" s="66" t="s">
        <v>56</v>
      </c>
      <c r="C137" s="89" t="e">
        <f>+Cs!#REF!+Fin!#REF!+Rat!#REF!+MM!#REF!+Lib!#REF!+Pry!#REF!+Hal!#REF!+Cem!#REF!+Par!#REF!+EDv!C136+Str!#REF!+Ele!#REF!+Wat!#REF!+San!#REF!+Ref!#REF!</f>
        <v>#REF!</v>
      </c>
      <c r="D137" s="89" t="e">
        <f>+Cs!#REF!+Fin!#REF!+Rat!#REF!+MM!#REF!+Lib!#REF!+Pry!#REF!+Hal!#REF!+Cem!#REF!+Par!#REF!+EDv!D136+Str!#REF!+Ele!#REF!+Wat!#REF!+San!#REF!+Ref!#REF!</f>
        <v>#REF!</v>
      </c>
      <c r="E137" s="89" t="e">
        <f>+Cs!#REF!+Fin!#REF!+Rat!#REF!+MM!#REF!+Lib!#REF!+Pry!#REF!+Hal!#REF!+Cem!#REF!+Par!#REF!+EDv!E136+Str!#REF!+Ele!#REF!+Wat!#REF!+San!#REF!+Ref!#REF!</f>
        <v>#REF!</v>
      </c>
      <c r="F137" s="89" t="e">
        <f>+Cs!#REF!+Fin!#REF!+Rat!#REF!+MM!#REF!+Lib!#REF!+Pry!#REF!+Hal!#REF!+Cem!#REF!+Par!#REF!+EDv!F136+Str!#REF!+Ele!#REF!+Wat!#REF!+San!#REF!+Ref!#REF!</f>
        <v>#REF!</v>
      </c>
      <c r="G137" s="89" t="e">
        <f>+Cs!#REF!+Fin!#REF!+Rat!#REF!+MM!#REF!+Lib!#REF!+Pry!#REF!+Hal!#REF!+Cem!#REF!+Par!#REF!+EDv!G136+Str!#REF!+Ele!#REF!+Wat!#REF!+San!#REF!+Ref!#REF!</f>
        <v>#REF!</v>
      </c>
      <c r="H137" s="89" t="e">
        <f>+Cs!#REF!+Fin!#REF!+Rat!#REF!+MM!#REF!+Lib!#REF!+Pry!#REF!+Hal!#REF!+Cem!#REF!+Par!#REF!+EDv!H136+Str!#REF!+Ele!#REF!+Wat!#REF!+San!#REF!+Ref!#REF!</f>
        <v>#REF!</v>
      </c>
      <c r="I137" s="66" t="s">
        <v>2722</v>
      </c>
    </row>
    <row r="138" spans="1:9" x14ac:dyDescent="0.35">
      <c r="A138" s="66" t="s">
        <v>53</v>
      </c>
      <c r="B138" s="66" t="s">
        <v>100</v>
      </c>
      <c r="C138" s="89" t="e">
        <f>+Cs!#REF!+Fin!#REF!+Rat!#REF!+MM!#REF!+Lib!#REF!+Pry!#REF!+Hal!#REF!+Cem!#REF!+Par!#REF!+EDv!C137+Str!#REF!+Ele!#REF!+Wat!#REF!+San!#REF!+Ref!#REF!</f>
        <v>#REF!</v>
      </c>
      <c r="D138" s="89" t="e">
        <f>+Cs!#REF!+Fin!#REF!+Rat!#REF!+MM!#REF!+Lib!#REF!+Pry!#REF!+Hal!#REF!+Cem!#REF!+Par!#REF!+EDv!D137+Str!#REF!+Ele!#REF!+Wat!#REF!+San!#REF!+Ref!#REF!</f>
        <v>#REF!</v>
      </c>
      <c r="E138" s="89" t="e">
        <f>+Cs!#REF!+Fin!#REF!+Rat!#REF!+MM!#REF!+Lib!#REF!+Pry!#REF!+Hal!#REF!+Cem!#REF!+Par!#REF!+EDv!E137+Str!#REF!+Ele!#REF!+Wat!#REF!+San!#REF!+Ref!#REF!</f>
        <v>#REF!</v>
      </c>
      <c r="F138" s="89" t="e">
        <f>+Cs!#REF!+Fin!#REF!+Rat!#REF!+MM!#REF!+Lib!#REF!+Pry!#REF!+Hal!#REF!+Cem!#REF!+Par!#REF!+EDv!F137+Str!#REF!+Ele!#REF!+Wat!#REF!+San!#REF!+Ref!#REF!</f>
        <v>#REF!</v>
      </c>
      <c r="G138" s="89" t="e">
        <f>+Cs!#REF!+Fin!#REF!+Rat!#REF!+MM!#REF!+Lib!#REF!+Pry!#REF!+Hal!#REF!+Cem!#REF!+Par!#REF!+EDv!G137+Str!#REF!+Ele!#REF!+Wat!#REF!+San!#REF!+Ref!#REF!</f>
        <v>#REF!</v>
      </c>
      <c r="H138" s="89" t="e">
        <f>+Cs!#REF!+Fin!#REF!+Rat!#REF!+MM!#REF!+Lib!#REF!+Pry!#REF!+Hal!#REF!+Cem!#REF!+Par!#REF!+EDv!H137+Str!#REF!+Ele!#REF!+Wat!#REF!+San!#REF!+Ref!#REF!</f>
        <v>#REF!</v>
      </c>
      <c r="I138" s="66" t="s">
        <v>2722</v>
      </c>
    </row>
    <row r="139" spans="1:9" x14ac:dyDescent="0.35">
      <c r="A139" s="66" t="s">
        <v>350</v>
      </c>
      <c r="B139" s="66" t="s">
        <v>54</v>
      </c>
      <c r="C139" s="89">
        <f>+Cs!B154+Fin!B154+Rat!B154+MM!B154+Lib!B154+Pry!B154+Hal!B154+Cem!B154+Par!B154+EDv!C138+Str!B154+Ele!B154+Wat!B154+San!B154+Ref!B154</f>
        <v>240000</v>
      </c>
      <c r="D139" s="89">
        <f>+Cs!C154+Fin!C154+Rat!C154+MM!C154+Lib!C154+Pry!C154+Hal!C154+Cem!C154+Par!C154+EDv!D138+Str!C154+Ele!C154+Wat!C154+San!C154+Ref!C154</f>
        <v>240000</v>
      </c>
      <c r="E139" s="89">
        <f>+Cs!D154+Fin!D154+Rat!D154+MM!D154+Lib!D154+Pry!D154+Hal!D154+Cem!D154+Par!D154+EDv!E138+Str!D154+Ele!D154+Wat!D154+San!D154+Ref!D154</f>
        <v>219941.5</v>
      </c>
      <c r="F139" s="89">
        <f>+Cs!E154+Fin!E154+Rat!E154+MM!E154+Lib!E154+Pry!E154+Hal!E154+Cem!E154+Par!E154+EDv!F138+Str!E154+Ele!E154+Wat!E154+San!E154+Ref!E154</f>
        <v>190000</v>
      </c>
      <c r="G139" s="89">
        <f>+Cs!F154+Fin!F154+Rat!F154+MM!F154+Lib!F154+Pry!F154+Hal!F154+Cem!F154+Par!F154+EDv!G138+Str!F154+Ele!F154+Wat!F154+San!F154+Ref!F154</f>
        <v>0</v>
      </c>
      <c r="H139" s="89">
        <f>+Cs!G154+Fin!G154+Rat!G154+MM!G154+Lib!G154+Pry!G154+Hal!G154+Cem!G154+Par!G154+EDv!H138+Str!G154+Ele!G154+Wat!G154+San!G154+Ref!G154</f>
        <v>0</v>
      </c>
      <c r="I139" s="66" t="s">
        <v>2730</v>
      </c>
    </row>
    <row r="140" spans="1:9" x14ac:dyDescent="0.35">
      <c r="A140" s="66" t="s">
        <v>604</v>
      </c>
      <c r="B140" s="66" t="s">
        <v>351</v>
      </c>
      <c r="C140" s="89">
        <f>+Cs!B155+Fin!B155+Rat!B155+MM!B155+Lib!B155+Pry!B155+Hal!B155+Cem!B155+Par!B155+EDv!C139+Str!B155+Ele!B155+Wat!B155+San!B155+Ref!B155</f>
        <v>116000</v>
      </c>
      <c r="D140" s="89">
        <f>+Cs!C155+Fin!C155+Rat!C155+MM!C155+Lib!C155+Pry!C155+Hal!C155+Cem!C155+Par!C155+EDv!D139+Str!C155+Ele!C155+Wat!C155+San!C155+Ref!C155</f>
        <v>116000</v>
      </c>
      <c r="E140" s="89">
        <f>+Cs!D155+Fin!D155+Rat!D155+MM!D155+Lib!D155+Pry!D155+Hal!D155+Cem!D155+Par!D155+EDv!E139+Str!D155+Ele!D155+Wat!D155+San!D155+Ref!D155</f>
        <v>105740.53</v>
      </c>
      <c r="F140" s="89">
        <f>+Cs!E155+Fin!E155+Rat!E155+MM!E155+Lib!E155+Pry!E155+Hal!E155+Cem!E155+Par!E155+EDv!F139+Str!E155+Ele!E155+Wat!E155+San!E155+Ref!E155</f>
        <v>76000</v>
      </c>
      <c r="G140" s="89">
        <f>+Cs!F155+Fin!F155+Rat!F155+MM!F155+Lib!F155+Pry!F155+Hal!F155+Cem!F155+Par!F155+EDv!G139+Str!F155+Ele!F155+Wat!F155+San!F155+Ref!F155</f>
        <v>63300</v>
      </c>
      <c r="H140" s="89">
        <f>+Cs!G155+Fin!G155+Rat!G155+MM!G155+Lib!G155+Pry!G155+Hal!G155+Cem!G155+Par!G155+EDv!H139+Str!G155+Ele!G155+Wat!G155+San!G155+Ref!G155</f>
        <v>66200</v>
      </c>
      <c r="I140" s="66" t="s">
        <v>2722</v>
      </c>
    </row>
    <row r="141" spans="1:9" x14ac:dyDescent="0.35">
      <c r="A141" s="66" t="s">
        <v>224</v>
      </c>
      <c r="B141" s="66" t="s">
        <v>225</v>
      </c>
      <c r="C141" s="89">
        <f>+Cs!B157+Fin!B157+Rat!B157+MM!B157+Lib!B157+Pry!B157+Hal!B157+Cem!B157+Par!B157+EDv!C141+Str!B157+Ele!B157+Wat!B157+San!B157+Ref!B157</f>
        <v>1560000</v>
      </c>
      <c r="D141" s="89">
        <f>+Cs!C157+Fin!C157+Rat!C157+MM!C157+Lib!C157+Pry!C157+Hal!C157+Cem!C157+Par!C157+EDv!D141+Str!C157+Ele!C157+Wat!C157+San!C157+Ref!C157</f>
        <v>1560000</v>
      </c>
      <c r="E141" s="89">
        <f>+Cs!D157+Fin!D157+Rat!D157+MM!D157+Lib!D157+Pry!D157+Hal!D157+Cem!D157+Par!D157+EDv!E141+Str!D157+Ele!D157+Wat!D157+San!D157+Ref!D157</f>
        <v>1530547.64</v>
      </c>
      <c r="F141" s="89">
        <f>+Cs!E157+Fin!E157+Rat!E157+MM!E157+Lib!E157+Pry!E157+Hal!E157+Cem!E157+Par!E157+EDv!F141+Str!E157+Ele!E157+Wat!E157+San!E157+Ref!E157</f>
        <v>1650000</v>
      </c>
      <c r="G141" s="89">
        <f>+Cs!F157+Fin!F157+Rat!F157+MM!F157+Lib!F157+Pry!F157+Hal!F157+Cem!F157+Par!F157+EDv!G141+Str!F157+Ele!F157+Wat!F157+San!F157+Ref!F157</f>
        <v>1716000</v>
      </c>
      <c r="H141" s="89">
        <f>+Cs!G157+Fin!G157+Rat!G157+MM!G157+Lib!G157+Pry!G157+Hal!G157+Cem!G157+Par!G157+EDv!H141+Str!G157+Ele!G157+Wat!G157+San!G157+Ref!G157</f>
        <v>1790000</v>
      </c>
      <c r="I141" s="66" t="s">
        <v>2722</v>
      </c>
    </row>
    <row r="142" spans="1:9" x14ac:dyDescent="0.35">
      <c r="A142" s="66" t="s">
        <v>839</v>
      </c>
      <c r="B142" s="66" t="s">
        <v>64</v>
      </c>
      <c r="C142" s="89">
        <f>+Cs!B164+Fin!B164+Rat!B164+MM!B164+Lib!B164+Pry!B164+Hal!B164+Cem!B164+Par!B164+EDv!C142+Str!B164+Ele!B164+Wat!B164+San!B164+Ref!B164</f>
        <v>710000</v>
      </c>
      <c r="D142" s="89">
        <f>+Cs!C164+Fin!C164+Rat!C164+MM!C164+Lib!C164+Pry!C164+Hal!C164+Cem!C164+Par!C164+EDv!D142+Str!C164+Ele!C164+Wat!C164+San!C164+Ref!C164</f>
        <v>710000</v>
      </c>
      <c r="E142" s="89">
        <f>+Cs!D164+Fin!D164+Rat!D164+MM!D164+Lib!D164+Pry!D164+Hal!D164+Cem!D164+Par!D164+EDv!E142+Str!D164+Ele!D164+Wat!D164+San!D164+Ref!D164</f>
        <v>775482.94</v>
      </c>
      <c r="F142" s="89">
        <f>+Cs!E164+Fin!E164+Rat!E164+MM!E164+Lib!E164+Pry!E164+Hal!E164+Cem!E164+Par!E164+EDv!F142+Str!E164+Ele!E164+Wat!E164+San!E164+Ref!E164</f>
        <v>1200000</v>
      </c>
      <c r="G142" s="89">
        <f>+Cs!F164+Fin!F164+Rat!F164+MM!F164+Lib!F164+Pry!F164+Hal!F164+Cem!F164+Par!F164+EDv!G142+Str!F164+Ele!F164+Wat!F164+San!F164+Ref!F164</f>
        <v>1255200</v>
      </c>
      <c r="H142" s="89">
        <f>+Cs!G164+Fin!G164+Rat!G164+MM!G164+Lib!G164+Pry!G164+Hal!G164+Cem!G164+Par!G164+EDv!H142+Str!G164+Ele!G164+Wat!G164+San!G164+Ref!G164</f>
        <v>1313000</v>
      </c>
      <c r="I142" s="66" t="s">
        <v>2726</v>
      </c>
    </row>
    <row r="143" spans="1:9" x14ac:dyDescent="0.35">
      <c r="A143" s="66"/>
      <c r="B143" s="66" t="s">
        <v>355</v>
      </c>
      <c r="C143" s="89">
        <f>+Cs!B165+Fin!B165+Rat!B165+MM!B165+Lib!B165+Pry!B165+Hal!B165+Cem!B165+Par!B165+EDv!C143+Str!B165+Ele!B165+Wat!B165+San!B165+Ref!B165</f>
        <v>569400</v>
      </c>
      <c r="D143" s="89">
        <f>+Cs!C165+Fin!C165+Rat!C165+MM!C165+Lib!C165+Pry!C165+Hal!C165+Cem!C165+Par!C165+EDv!D143+Str!C165+Ele!C165+Wat!C165+San!C165+Ref!C165</f>
        <v>569400</v>
      </c>
      <c r="E143" s="89">
        <f>+Cs!D165+Fin!D165+Rat!D165+MM!D165+Lib!D165+Pry!D165+Hal!D165+Cem!D165+Par!D165+EDv!E143+Str!D165+Ele!D165+Wat!D165+San!D165+Ref!D165</f>
        <v>564000</v>
      </c>
      <c r="F143" s="89">
        <f>+Cs!E165+Fin!E165+Rat!E165+MM!E165+Lib!E165+Pry!E165+Hal!E165+Cem!E165+Par!E165+EDv!F143+Str!E165+Ele!E165+Wat!E165+San!E165+Ref!E165</f>
        <v>569400</v>
      </c>
      <c r="G143" s="89">
        <f>+Cs!F165+Fin!F165+Rat!F165+MM!F165+Lib!F165+Pry!F165+Hal!F165+Cem!F165+Par!F165+EDv!G143+Str!F165+Ele!F165+Wat!F165+San!F165+Ref!F165</f>
        <v>705600</v>
      </c>
      <c r="H143" s="89">
        <f>+Cs!G165+Fin!G165+Rat!G165+MM!G165+Lib!G165+Pry!G165+Hal!G165+Cem!G165+Par!G165+EDv!H143+Str!G165+Ele!G165+Wat!G165+San!G165+Ref!G165</f>
        <v>744000</v>
      </c>
      <c r="I143" s="66" t="s">
        <v>2722</v>
      </c>
    </row>
    <row r="144" spans="1:9" x14ac:dyDescent="0.35">
      <c r="A144" s="66" t="s">
        <v>261</v>
      </c>
      <c r="B144" s="66" t="s">
        <v>262</v>
      </c>
      <c r="C144" s="89">
        <f>+Cs!B166+Fin!B166+Rat!B166+MM!B166+Lib!B166+Pry!B166+Hal!B166+Cem!B166+Par!B166+EDv!C144+Str!B166+Ele!B166+Wat!B166+San!B166+Ref!B166</f>
        <v>626900</v>
      </c>
      <c r="D144" s="89">
        <f>+Cs!C166+Fin!C166+Rat!C166+MM!C166+Lib!C166+Pry!C166+Hal!C166+Cem!C166+Par!C166+EDv!D144+Str!C166+Ele!C166+Wat!C166+San!C166+Ref!C166</f>
        <v>626900</v>
      </c>
      <c r="E144" s="89">
        <f>+Cs!D166+Fin!D166+Rat!D166+MM!D166+Lib!D166+Pry!D166+Hal!D166+Cem!D166+Par!D166+EDv!E144+Str!D166+Ele!D166+Wat!D166+San!D166+Ref!D166</f>
        <v>798000</v>
      </c>
      <c r="F144" s="89">
        <f>+Cs!E166+Fin!E166+Rat!E166+MM!E166+Lib!E166+Pry!E166+Hal!E166+Cem!E166+Par!E166+EDv!F144+Str!E166+Ele!E166+Wat!E166+San!E166+Ref!E166</f>
        <v>850000</v>
      </c>
      <c r="G144" s="89">
        <f>+Cs!F166+Fin!F166+Rat!F166+MM!F166+Lib!F166+Pry!F166+Hal!F166+Cem!F166+Par!F166+EDv!G144+Str!F166+Ele!F166+Wat!F166+San!F166+Ref!F166</f>
        <v>889100</v>
      </c>
      <c r="H144" s="89">
        <f>+Cs!G166+Fin!G166+Rat!G166+MM!G166+Lib!G166+Pry!G166+Hal!G166+Cem!G166+Par!G166+EDv!H144+Str!G166+Ele!G166+Wat!G166+San!G166+Ref!G166</f>
        <v>930000</v>
      </c>
      <c r="I144" s="66" t="s">
        <v>2722</v>
      </c>
    </row>
    <row r="145" spans="1:9" x14ac:dyDescent="0.35">
      <c r="A145" s="66" t="s">
        <v>95</v>
      </c>
      <c r="B145" s="66" t="s">
        <v>96</v>
      </c>
      <c r="C145" s="89" t="e">
        <f>+Cs!#REF!+Fin!#REF!+Rat!#REF!+MM!#REF!+Lib!#REF!+Pry!#REF!+Hal!#REF!+Cem!#REF!+Par!#REF!+EDv!C145+Str!#REF!+Ele!#REF!+Wat!#REF!+San!#REF!+Ref!#REF!</f>
        <v>#REF!</v>
      </c>
      <c r="D145" s="89" t="e">
        <f>+Cs!#REF!+Fin!#REF!+Rat!#REF!+MM!#REF!+Lib!#REF!+Pry!#REF!+Hal!#REF!+Cem!#REF!+Par!#REF!+EDv!D145+Str!#REF!+Ele!#REF!+Wat!#REF!+San!#REF!+Ref!#REF!</f>
        <v>#REF!</v>
      </c>
      <c r="E145" s="89" t="e">
        <f>+Cs!#REF!+Fin!#REF!+Rat!#REF!+MM!#REF!+Lib!#REF!+Pry!#REF!+Hal!#REF!+Cem!#REF!+Par!#REF!+EDv!E145+Str!#REF!+Ele!#REF!+Wat!#REF!+San!#REF!+Ref!#REF!</f>
        <v>#REF!</v>
      </c>
      <c r="F145" s="89" t="e">
        <f>+Cs!#REF!+Fin!#REF!+Rat!#REF!+MM!#REF!+Lib!#REF!+Pry!#REF!+Hal!#REF!+Cem!#REF!+Par!#REF!+EDv!F145+Str!#REF!+Ele!#REF!+Wat!#REF!+San!#REF!+Ref!#REF!</f>
        <v>#REF!</v>
      </c>
      <c r="G145" s="89" t="e">
        <f>+Cs!#REF!+Fin!#REF!+Rat!#REF!+MM!#REF!+Lib!#REF!+Pry!#REF!+Hal!#REF!+Cem!#REF!+Par!#REF!+EDv!G145+Str!#REF!+Ele!#REF!+Wat!#REF!+San!#REF!+Ref!#REF!</f>
        <v>#REF!</v>
      </c>
      <c r="H145" s="89" t="e">
        <f>+Cs!#REF!+Fin!#REF!+Rat!#REF!+MM!#REF!+Lib!#REF!+Pry!#REF!+Hal!#REF!+Cem!#REF!+Par!#REF!+EDv!H145+Str!#REF!+Ele!#REF!+Wat!#REF!+San!#REF!+Ref!#REF!</f>
        <v>#REF!</v>
      </c>
      <c r="I145" s="66" t="s">
        <v>2722</v>
      </c>
    </row>
    <row r="146" spans="1:9" x14ac:dyDescent="0.35">
      <c r="A146" s="66" t="s">
        <v>503</v>
      </c>
      <c r="B146" s="66" t="s">
        <v>504</v>
      </c>
      <c r="C146" s="89" t="e">
        <f>+Cs!#REF!+Fin!#REF!+Rat!#REF!+MM!#REF!+Lib!#REF!+Pry!#REF!+Hal!#REF!+Cem!#REF!+Par!#REF!+EDv!C146+Str!#REF!+Ele!#REF!+Wat!#REF!+San!#REF!+Ref!#REF!</f>
        <v>#REF!</v>
      </c>
      <c r="D146" s="89" t="e">
        <f>+Cs!#REF!+Fin!#REF!+Rat!#REF!+MM!#REF!+Lib!#REF!+Pry!#REF!+Hal!#REF!+Cem!#REF!+Par!#REF!+EDv!D146+Str!#REF!+Ele!#REF!+Wat!#REF!+San!#REF!+Ref!#REF!</f>
        <v>#REF!</v>
      </c>
      <c r="E146" s="89" t="e">
        <f>+Cs!#REF!+Fin!#REF!+Rat!#REF!+MM!#REF!+Lib!#REF!+Pry!#REF!+Hal!#REF!+Cem!#REF!+Par!#REF!+EDv!E146+Str!#REF!+Ele!#REF!+Wat!#REF!+San!#REF!+Ref!#REF!</f>
        <v>#REF!</v>
      </c>
      <c r="F146" s="89" t="e">
        <f>+Cs!#REF!+Fin!#REF!+Rat!#REF!+MM!#REF!+Lib!#REF!+Pry!#REF!+Hal!#REF!+Cem!#REF!+Par!#REF!+EDv!F146+Str!#REF!+Ele!#REF!+Wat!#REF!+San!#REF!+Ref!#REF!</f>
        <v>#REF!</v>
      </c>
      <c r="G146" s="89" t="e">
        <f>+Cs!#REF!+Fin!#REF!+Rat!#REF!+MM!#REF!+Lib!#REF!+Pry!#REF!+Hal!#REF!+Cem!#REF!+Par!#REF!+EDv!G146+Str!#REF!+Ele!#REF!+Wat!#REF!+San!#REF!+Ref!#REF!</f>
        <v>#REF!</v>
      </c>
      <c r="H146" s="89" t="e">
        <f>+Cs!#REF!+Fin!#REF!+Rat!#REF!+MM!#REF!+Lib!#REF!+Pry!#REF!+Hal!#REF!+Cem!#REF!+Par!#REF!+EDv!H146+Str!#REF!+Ele!#REF!+Wat!#REF!+San!#REF!+Ref!#REF!</f>
        <v>#REF!</v>
      </c>
      <c r="I146" s="66" t="s">
        <v>2722</v>
      </c>
    </row>
    <row r="147" spans="1:9" x14ac:dyDescent="0.35">
      <c r="A147" s="66" t="s">
        <v>755</v>
      </c>
      <c r="B147" s="66" t="s">
        <v>756</v>
      </c>
      <c r="C147" s="89" t="e">
        <f>+Cs!#REF!+Fin!#REF!+Rat!#REF!+MM!#REF!+Lib!#REF!+Pry!#REF!+Hal!#REF!+Cem!#REF!+Par!#REF!+EDv!C147+Str!#REF!+Ele!#REF!+Wat!#REF!+San!#REF!+Ref!#REF!</f>
        <v>#REF!</v>
      </c>
      <c r="D147" s="89" t="e">
        <f>+Cs!#REF!+Fin!#REF!+Rat!#REF!+MM!#REF!+Lib!#REF!+Pry!#REF!+Hal!#REF!+Cem!#REF!+Par!#REF!+EDv!D147+Str!#REF!+Ele!#REF!+Wat!#REF!+San!#REF!+Ref!#REF!</f>
        <v>#REF!</v>
      </c>
      <c r="E147" s="89" t="e">
        <f>+Cs!#REF!+Fin!#REF!+Rat!#REF!+MM!#REF!+Lib!#REF!+Pry!#REF!+Hal!#REF!+Cem!#REF!+Par!#REF!+EDv!E147+Str!#REF!+Ele!#REF!+Wat!#REF!+San!#REF!+Ref!#REF!</f>
        <v>#REF!</v>
      </c>
      <c r="F147" s="89" t="e">
        <f>+Cs!#REF!+Fin!#REF!+Rat!#REF!+MM!#REF!+Lib!#REF!+Pry!#REF!+Hal!#REF!+Cem!#REF!+Par!#REF!+EDv!F147+Str!#REF!+Ele!#REF!+Wat!#REF!+San!#REF!+Ref!#REF!</f>
        <v>#REF!</v>
      </c>
      <c r="G147" s="89" t="e">
        <f>+Cs!#REF!+Fin!#REF!+Rat!#REF!+MM!#REF!+Lib!#REF!+Pry!#REF!+Hal!#REF!+Cem!#REF!+Par!#REF!+EDv!G147+Str!#REF!+Ele!#REF!+Wat!#REF!+San!#REF!+Ref!#REF!</f>
        <v>#REF!</v>
      </c>
      <c r="H147" s="89" t="e">
        <f>+Cs!#REF!+Fin!#REF!+Rat!#REF!+MM!#REF!+Lib!#REF!+Pry!#REF!+Hal!#REF!+Cem!#REF!+Par!#REF!+EDv!H147+Str!#REF!+Ele!#REF!+Wat!#REF!+San!#REF!+Ref!#REF!</f>
        <v>#REF!</v>
      </c>
      <c r="I147" s="66" t="s">
        <v>2722</v>
      </c>
    </row>
    <row r="148" spans="1:9" x14ac:dyDescent="0.35">
      <c r="A148" s="66" t="s">
        <v>673</v>
      </c>
      <c r="B148" s="66" t="s">
        <v>674</v>
      </c>
      <c r="C148" s="89" t="e">
        <f>+Cs!#REF!+Fin!#REF!+Rat!#REF!+MM!#REF!+Lib!#REF!+Pry!#REF!+Hal!#REF!+Cem!#REF!+Par!#REF!+EDv!C148+Str!#REF!+Ele!#REF!+Wat!#REF!+San!#REF!+Ref!#REF!</f>
        <v>#REF!</v>
      </c>
      <c r="D148" s="89" t="e">
        <f>+Cs!#REF!+Fin!#REF!+Rat!#REF!+MM!#REF!+Lib!#REF!+Pry!#REF!+Hal!#REF!+Cem!#REF!+Par!#REF!+EDv!D148+Str!#REF!+Ele!#REF!+Wat!#REF!+San!#REF!+Ref!#REF!</f>
        <v>#REF!</v>
      </c>
      <c r="E148" s="89" t="e">
        <f>+Cs!#REF!+Fin!#REF!+Rat!#REF!+MM!#REF!+Lib!#REF!+Pry!#REF!+Hal!#REF!+Cem!#REF!+Par!#REF!+EDv!E148+Str!#REF!+Ele!#REF!+Wat!#REF!+San!#REF!+Ref!#REF!</f>
        <v>#REF!</v>
      </c>
      <c r="F148" s="89" t="e">
        <f>+Cs!#REF!+Fin!#REF!+Rat!#REF!+MM!#REF!+Lib!#REF!+Pry!#REF!+Hal!#REF!+Cem!#REF!+Par!#REF!+EDv!F148+Str!#REF!+Ele!#REF!+Wat!#REF!+San!#REF!+Ref!#REF!</f>
        <v>#REF!</v>
      </c>
      <c r="G148" s="89" t="e">
        <f>+Cs!#REF!+Fin!#REF!+Rat!#REF!+MM!#REF!+Lib!#REF!+Pry!#REF!+Hal!#REF!+Cem!#REF!+Par!#REF!+EDv!G148+Str!#REF!+Ele!#REF!+Wat!#REF!+San!#REF!+Ref!#REF!</f>
        <v>#REF!</v>
      </c>
      <c r="H148" s="89" t="e">
        <f>+Cs!#REF!+Fin!#REF!+Rat!#REF!+MM!#REF!+Lib!#REF!+Pry!#REF!+Hal!#REF!+Cem!#REF!+Par!#REF!+EDv!H148+Str!#REF!+Ele!#REF!+Wat!#REF!+San!#REF!+Ref!#REF!</f>
        <v>#REF!</v>
      </c>
      <c r="I148" s="66" t="s">
        <v>2722</v>
      </c>
    </row>
    <row r="149" spans="1:9" x14ac:dyDescent="0.35">
      <c r="A149" s="66" t="s">
        <v>85</v>
      </c>
      <c r="B149" s="66" t="s">
        <v>86</v>
      </c>
      <c r="C149" s="89" t="e">
        <f>+Cs!#REF!+Fin!#REF!+Rat!#REF!+MM!#REF!+Lib!#REF!+Pry!#REF!+Hal!#REF!+Cem!#REF!+Par!#REF!+EDv!C149+Str!#REF!+Ele!#REF!+Wat!#REF!+San!#REF!+Ref!#REF!</f>
        <v>#REF!</v>
      </c>
      <c r="D149" s="89" t="e">
        <f>+Cs!#REF!+Fin!#REF!+Rat!#REF!+MM!#REF!+Lib!#REF!+Pry!#REF!+Hal!#REF!+Cem!#REF!+Par!#REF!+EDv!D149+Str!#REF!+Ele!#REF!+Wat!#REF!+San!#REF!+Ref!#REF!</f>
        <v>#REF!</v>
      </c>
      <c r="E149" s="89" t="e">
        <f>+Cs!#REF!+Fin!#REF!+Rat!#REF!+MM!#REF!+Lib!#REF!+Pry!#REF!+Hal!#REF!+Cem!#REF!+Par!#REF!+EDv!E149+Str!#REF!+Ele!#REF!+Wat!#REF!+San!#REF!+Ref!#REF!</f>
        <v>#REF!</v>
      </c>
      <c r="F149" s="89" t="e">
        <f>+Cs!#REF!+Fin!#REF!+Rat!#REF!+MM!#REF!+Lib!#REF!+Pry!#REF!+Hal!#REF!+Cem!#REF!+Par!#REF!+EDv!F149+Str!#REF!+Ele!#REF!+Wat!#REF!+San!#REF!+Ref!#REF!</f>
        <v>#REF!</v>
      </c>
      <c r="G149" s="89" t="e">
        <f>+Cs!#REF!+Fin!#REF!+Rat!#REF!+MM!#REF!+Lib!#REF!+Pry!#REF!+Hal!#REF!+Cem!#REF!+Par!#REF!+EDv!G149+Str!#REF!+Ele!#REF!+Wat!#REF!+San!#REF!+Ref!#REF!</f>
        <v>#REF!</v>
      </c>
      <c r="H149" s="89" t="e">
        <f>+Cs!#REF!+Fin!#REF!+Rat!#REF!+MM!#REF!+Lib!#REF!+Pry!#REF!+Hal!#REF!+Cem!#REF!+Par!#REF!+EDv!H149+Str!#REF!+Ele!#REF!+Wat!#REF!+San!#REF!+Ref!#REF!</f>
        <v>#REF!</v>
      </c>
      <c r="I149" s="66" t="s">
        <v>2722</v>
      </c>
    </row>
    <row r="150" spans="1:9" x14ac:dyDescent="0.35">
      <c r="A150" s="66" t="s">
        <v>263</v>
      </c>
      <c r="B150" s="66" t="s">
        <v>264</v>
      </c>
      <c r="C150" s="89">
        <f>+Cs!B167+Fin!B167+Rat!B167+MM!B167+Lib!B167+Pry!B167+Hal!B167+Cem!B167+Par!B167+EDv!C150+Str!B167+Ele!B167+Wat!B167+San!B167+Ref!B167</f>
        <v>612900</v>
      </c>
      <c r="D150" s="89">
        <f>+Cs!C167+Fin!C167+Rat!C167+MM!C167+Lib!C167+Pry!C167+Hal!C167+Cem!C167+Par!C167+EDv!D150+Str!C167+Ele!C167+Wat!C167+San!C167+Ref!C167</f>
        <v>612900</v>
      </c>
      <c r="E150" s="89">
        <f>+Cs!D167+Fin!D167+Rat!D167+MM!D167+Lib!D167+Pry!D167+Hal!D167+Cem!D167+Par!D167+EDv!E150+Str!D167+Ele!D167+Wat!D167+San!D167+Ref!D167</f>
        <v>796770</v>
      </c>
      <c r="F150" s="89">
        <f>+Cs!E167+Fin!E167+Rat!E167+MM!E167+Lib!E167+Pry!E167+Hal!E167+Cem!E167+Par!E167+EDv!F150+Str!E167+Ele!E167+Wat!E167+San!E167+Ref!E167</f>
        <v>670000</v>
      </c>
      <c r="G150" s="89">
        <f>+Cs!F167+Fin!F167+Rat!F167+MM!F167+Lib!F167+Pry!F167+Hal!F167+Cem!F167+Par!F167+EDv!G150+Str!F167+Ele!F167+Wat!F167+San!F167+Ref!F167</f>
        <v>700800</v>
      </c>
      <c r="H150" s="89">
        <f>+Cs!G167+Fin!G167+Rat!G167+MM!G167+Lib!G167+Pry!G167+Hal!G167+Cem!G167+Par!G167+EDv!H150+Str!G167+Ele!G167+Wat!G167+San!G167+Ref!G167</f>
        <v>734000</v>
      </c>
      <c r="I150" s="66" t="s">
        <v>2722</v>
      </c>
    </row>
    <row r="151" spans="1:9" x14ac:dyDescent="0.35">
      <c r="A151" s="66" t="s">
        <v>734</v>
      </c>
      <c r="B151" s="66" t="s">
        <v>735</v>
      </c>
      <c r="C151" s="89">
        <f>+Cs!B168+Fin!B168+Rat!B168+MM!B168+Lib!B168+Pry!B168+Hal!B168+Cem!B168+Par!B168+EDv!C151+Str!B168+Ele!B168+Wat!B168+San!B168+Ref!B168</f>
        <v>8000</v>
      </c>
      <c r="D151" s="89">
        <f>+Cs!C168+Fin!C168+Rat!C168+MM!C168+Lib!C168+Pry!C168+Hal!C168+Cem!C168+Par!C168+EDv!D151+Str!C168+Ele!C168+Wat!C168+San!C168+Ref!C168</f>
        <v>8000</v>
      </c>
      <c r="E151" s="89">
        <f>+Cs!D168+Fin!D168+Rat!D168+MM!D168+Lib!D168+Pry!D168+Hal!D168+Cem!D168+Par!D168+EDv!E151+Str!D168+Ele!D168+Wat!D168+San!D168+Ref!D168</f>
        <v>7819</v>
      </c>
      <c r="F151" s="89">
        <f>+Cs!E168+Fin!E168+Rat!E168+MM!E168+Lib!E168+Pry!E168+Hal!E168+Cem!E168+Par!E168+EDv!F151+Str!E168+Ele!E168+Wat!E168+San!E168+Ref!E168</f>
        <v>8500</v>
      </c>
      <c r="G151" s="89">
        <f>+Cs!F168+Fin!F168+Rat!F168+MM!F168+Lib!F168+Pry!F168+Hal!F168+Cem!F168+Par!F168+EDv!G151+Str!F168+Ele!F168+Wat!F168+San!F168+Ref!F168</f>
        <v>8700</v>
      </c>
      <c r="H151" s="89">
        <f>+Cs!G168+Fin!G168+Rat!G168+MM!G168+Lib!G168+Pry!G168+Hal!G168+Cem!G168+Par!G168+EDv!H151+Str!G168+Ele!G168+Wat!G168+San!G168+Ref!G168</f>
        <v>8900</v>
      </c>
      <c r="I151" s="66" t="s">
        <v>2725</v>
      </c>
    </row>
    <row r="152" spans="1:9" x14ac:dyDescent="0.35">
      <c r="A152" s="66" t="s">
        <v>751</v>
      </c>
      <c r="B152" s="66" t="s">
        <v>752</v>
      </c>
      <c r="C152" s="89">
        <f>+Cs!B180+Fin!B180+Rat!B180+MM!B180+Lib!B180+Pry!B180+Hal!B180+Cem!B180+Par!B180+EDv!C152+Str!B180+Ele!B180+Wat!B180+San!B180+Ref!B180</f>
        <v>20000</v>
      </c>
      <c r="D152" s="89">
        <f>+Cs!C180+Fin!C180+Rat!C180+MM!C180+Lib!C180+Pry!C180+Hal!C180+Cem!C180+Par!C180+EDv!D152+Str!C180+Ele!C180+Wat!C180+San!C180+Ref!C180</f>
        <v>0</v>
      </c>
      <c r="E152" s="89">
        <f>+Cs!D180+Fin!D180+Rat!D180+MM!D180+Lib!D180+Pry!D180+Hal!D180+Cem!D180+Par!D180+EDv!E152+Str!D180+Ele!D180+Wat!D180+San!D180+Ref!D180</f>
        <v>0</v>
      </c>
      <c r="F152" s="89">
        <f>+Cs!E180+Fin!E180+Rat!E180+MM!E180+Lib!E180+Pry!E180+Hal!E180+Cem!E180+Par!E180+EDv!F152+Str!E180+Ele!E180+Wat!E180+San!E180+Ref!E180</f>
        <v>0</v>
      </c>
      <c r="G152" s="89">
        <f>+Cs!F180+Fin!F180+Rat!F180+MM!F180+Lib!F180+Pry!F180+Hal!F180+Cem!F180+Par!F180+EDv!G152+Str!F180+Ele!F180+Wat!F180+San!F180+Ref!F180</f>
        <v>0</v>
      </c>
      <c r="H152" s="89">
        <f>+Cs!G180+Fin!G180+Rat!G180+MM!G180+Lib!G180+Pry!G180+Hal!G180+Cem!G180+Par!G180+EDv!H152+Str!G180+Ele!G180+Wat!G180+San!G180+Ref!G180</f>
        <v>0</v>
      </c>
      <c r="I152" s="66" t="s">
        <v>2725</v>
      </c>
    </row>
    <row r="153" spans="1:9" x14ac:dyDescent="0.35">
      <c r="A153" s="66" t="s">
        <v>306</v>
      </c>
      <c r="B153" s="66" t="s">
        <v>307</v>
      </c>
      <c r="C153" s="89">
        <f>+Cs!B181+Fin!B181+Rat!B181+MM!B181+Lib!B181+Pry!B181+Hal!B181+Cem!B181+Par!B181+EDv!C153+Str!B181+Ele!B181+Wat!B181+San!B181+Ref!B181</f>
        <v>413000</v>
      </c>
      <c r="D153" s="89">
        <f>+Cs!C181+Fin!C181+Rat!C181+MM!C181+Lib!C181+Pry!C181+Hal!C181+Cem!C181+Par!C181+EDv!D153+Str!C181+Ele!C181+Wat!C181+San!C181+Ref!C181</f>
        <v>413000</v>
      </c>
      <c r="E153" s="89">
        <f>+Cs!D181+Fin!D181+Rat!D181+MM!D181+Lib!D181+Pry!D181+Hal!D181+Cem!D181+Par!D181+EDv!E153+Str!D181+Ele!D181+Wat!D181+San!D181+Ref!D181</f>
        <v>398512.22</v>
      </c>
      <c r="F153" s="89">
        <f>+Cs!E181+Fin!E181+Rat!E181+MM!E181+Lib!E181+Pry!E181+Hal!E181+Cem!E181+Par!E181+EDv!F153+Str!E181+Ele!E181+Wat!E181+San!E181+Ref!E181</f>
        <v>420000</v>
      </c>
      <c r="G153" s="89">
        <f>+Cs!F181+Fin!F181+Rat!F181+MM!F181+Lib!F181+Pry!F181+Hal!F181+Cem!F181+Par!F181+EDv!G153+Str!F181+Ele!F181+Wat!F181+San!F181+Ref!F181</f>
        <v>440000</v>
      </c>
      <c r="H153" s="89">
        <f>+Cs!G181+Fin!G181+Rat!G181+MM!G181+Lib!G181+Pry!G181+Hal!G181+Cem!G181+Par!G181+EDv!H153+Str!G181+Ele!G181+Wat!G181+San!G181+Ref!G181</f>
        <v>460000</v>
      </c>
      <c r="I153" s="66" t="s">
        <v>2722</v>
      </c>
    </row>
    <row r="154" spans="1:9" x14ac:dyDescent="0.35">
      <c r="A154" s="66" t="s">
        <v>71</v>
      </c>
      <c r="B154" s="66" t="s">
        <v>2734</v>
      </c>
      <c r="C154" s="89">
        <f>+Cs!B182+Fin!B182+Rat!B182+MM!B182+Lib!B182+Pry!B182+Hal!B182+Cem!B182+Par!B182+EDv!C155+Str!B182+Ele!B182+Wat!B182+San!B182+Ref!B182</f>
        <v>444200</v>
      </c>
      <c r="D154" s="89">
        <f>+Cs!C182+Fin!C182+Rat!C182+MM!C182+Lib!C182+Pry!C182+Hal!C182+Cem!C182+Par!C182+EDv!D155+Str!C182+Ele!C182+Wat!C182+San!C182+Ref!C182</f>
        <v>444200</v>
      </c>
      <c r="E154" s="89"/>
      <c r="F154" s="89">
        <f>+Cs!E182+Fin!E182+Rat!E182+MM!E182+Lib!E182+Pry!E182+Hal!E182+Cem!E182+Par!E182+EDv!F155+Str!E182+Ele!E182+Wat!E182+San!E182+Ref!E182</f>
        <v>965000</v>
      </c>
      <c r="G154" s="89">
        <f>+Cs!F182+Fin!F182+Rat!F182+MM!F182+Lib!F182+Pry!F182+Hal!F182+Cem!F182+Par!F182+EDv!G155+Str!F182+Ele!F182+Wat!F182+San!F182+Ref!F182</f>
        <v>1009400</v>
      </c>
      <c r="H154" s="89">
        <f>+Cs!G182+Fin!G182+Rat!G182+MM!G182+Lib!G182+Pry!G182+Hal!G182+Cem!G182+Par!G182+EDv!H155+Str!G182+Ele!G182+Wat!G182+San!G182+Ref!G182</f>
        <v>1055900</v>
      </c>
      <c r="I154" s="66" t="s">
        <v>2722</v>
      </c>
    </row>
    <row r="155" spans="1:9" x14ac:dyDescent="0.35">
      <c r="A155" s="66"/>
      <c r="B155" s="66" t="s">
        <v>2741</v>
      </c>
      <c r="C155" s="89" t="e">
        <f>+Cs!#REF!+Fin!#REF!+Rat!#REF!+MM!#REF!+Lib!#REF!+Pry!#REF!+Hal!#REF!+Cem!#REF!+Par!#REF!+EDv!C154+Str!#REF!+Ele!#REF!+Wat!#REF!+San!#REF!+Ref!#REF!</f>
        <v>#REF!</v>
      </c>
      <c r="D155" s="89" t="e">
        <f>+Cs!#REF!+Fin!#REF!+Rat!#REF!+MM!#REF!+Lib!#REF!+Pry!#REF!+Hal!#REF!+Cem!#REF!+Par!#REF!+EDv!D154+Str!#REF!+Ele!#REF!+Wat!#REF!+San!#REF!+Ref!#REF!</f>
        <v>#REF!</v>
      </c>
      <c r="E155" s="89" t="e">
        <f>+Cs!#REF!+Fin!#REF!+Rat!#REF!+MM!#REF!+Lib!#REF!+Pry!#REF!+Hal!#REF!+Cem!#REF!+Par!#REF!+EDv!E154+Str!#REF!+Ele!#REF!+Wat!#REF!+San!#REF!+Ref!#REF!</f>
        <v>#REF!</v>
      </c>
      <c r="F155" s="89" t="e">
        <f>+Cs!#REF!+Fin!#REF!+Rat!#REF!+MM!#REF!+Lib!#REF!+Pry!#REF!+Hal!#REF!+Cem!#REF!+Par!#REF!+EDv!F154+Str!#REF!+Ele!#REF!+Wat!#REF!+San!#REF!+Ref!#REF!</f>
        <v>#REF!</v>
      </c>
      <c r="G155" s="89" t="e">
        <f>+Cs!#REF!+Fin!#REF!+Rat!#REF!+MM!#REF!+Lib!#REF!+Pry!#REF!+Hal!#REF!+Cem!#REF!+Par!#REF!+EDv!G154+Str!#REF!+Ele!#REF!+Wat!#REF!+San!#REF!+Ref!#REF!</f>
        <v>#REF!</v>
      </c>
      <c r="H155" s="89" t="e">
        <f>+Cs!#REF!+Fin!#REF!+Rat!#REF!+MM!#REF!+Lib!#REF!+Pry!#REF!+Hal!#REF!+Cem!#REF!+Par!#REF!+EDv!H154+Str!#REF!+Ele!#REF!+Wat!#REF!+San!#REF!+Ref!#REF!</f>
        <v>#REF!</v>
      </c>
      <c r="I155" s="66" t="s">
        <v>2722</v>
      </c>
    </row>
    <row r="156" spans="1:9" x14ac:dyDescent="0.35">
      <c r="A156" s="66" t="s">
        <v>253</v>
      </c>
      <c r="B156" s="66" t="s">
        <v>254</v>
      </c>
      <c r="C156" s="89">
        <f>+Cs!B183+Fin!B183+Rat!B183+MM!B183+Lib!B183+Pry!B183+Hal!B183+Cem!B183+Par!B183+EDv!C156+Str!B183+Ele!B183+Wat!B183+San!B183+Ref!B183</f>
        <v>10000</v>
      </c>
      <c r="D156" s="89">
        <f>+Cs!C183+Fin!C183+Rat!C183+MM!C183+Lib!C183+Pry!C183+Hal!C183+Cem!C183+Par!C183+EDv!D156+Str!C183+Ele!C183+Wat!C183+San!C183+Ref!C183</f>
        <v>10000</v>
      </c>
      <c r="E156" s="89">
        <f>+Cs!D183+Fin!D183+Rat!D183+MM!D183+Lib!D183+Pry!D183+Hal!D183+Cem!D183+Par!D183+EDv!E156+Str!D183+Ele!D183+Wat!D183+San!D183+Ref!D183</f>
        <v>9861.3000000000029</v>
      </c>
      <c r="F156" s="89">
        <f>+Cs!E183+Fin!E183+Rat!E183+MM!E183+Lib!E183+Pry!E183+Hal!E183+Cem!E183+Par!E183+EDv!F156+Str!E183+Ele!E183+Wat!E183+San!E183+Ref!E183</f>
        <v>12000</v>
      </c>
      <c r="G156" s="89">
        <f>+Cs!F183+Fin!F183+Rat!F183+MM!F183+Lib!F183+Pry!F183+Hal!F183+Cem!F183+Par!F183+EDv!G156+Str!F183+Ele!F183+Wat!F183+San!F183+Ref!F183</f>
        <v>13100</v>
      </c>
      <c r="H156" s="89">
        <f>+Cs!G183+Fin!G183+Rat!G183+MM!G183+Lib!G183+Pry!G183+Hal!G183+Cem!G183+Par!G183+EDv!H156+Str!G183+Ele!G183+Wat!G183+San!G183+Ref!G183</f>
        <v>14000</v>
      </c>
      <c r="I156" s="66" t="s">
        <v>2728</v>
      </c>
    </row>
    <row r="157" spans="1:9" x14ac:dyDescent="0.35">
      <c r="A157" s="66"/>
      <c r="B157" s="66" t="s">
        <v>2772</v>
      </c>
      <c r="C157" s="89" t="e">
        <f>+Cs!#REF!+Fin!#REF!+Rat!#REF!+MM!#REF!+Lib!#REF!+Pry!#REF!+Hal!#REF!+Cem!#REF!+Par!#REF!+EDv!C157+Str!#REF!+Ele!#REF!+Wat!#REF!+San!#REF!+Ref!#REF!</f>
        <v>#REF!</v>
      </c>
      <c r="D157" s="89" t="e">
        <f>+Cs!#REF!+Fin!#REF!+Rat!#REF!+MM!#REF!+Lib!#REF!+Pry!#REF!+Hal!#REF!+Cem!#REF!+Par!#REF!+EDv!D157+Str!#REF!+Ele!#REF!+Wat!#REF!+San!#REF!+Ref!#REF!</f>
        <v>#REF!</v>
      </c>
      <c r="E157" s="89" t="e">
        <f>+Cs!#REF!+Fin!#REF!+Rat!#REF!+MM!#REF!+Lib!#REF!+Pry!#REF!+Hal!#REF!+Cem!#REF!+Par!#REF!+EDv!E157+Str!#REF!+Ele!#REF!+Wat!#REF!+San!#REF!+Ref!#REF!</f>
        <v>#REF!</v>
      </c>
      <c r="F157" s="89" t="e">
        <f>+Cs!#REF!+Fin!#REF!+Rat!#REF!+MM!#REF!+Lib!#REF!+Pry!#REF!+Hal!#REF!+Cem!#REF!+Par!#REF!+EDv!F157+Str!#REF!+Ele!#REF!+Wat!#REF!+San!#REF!+Ref!#REF!</f>
        <v>#REF!</v>
      </c>
      <c r="G157" s="89" t="e">
        <f>+Cs!#REF!+Fin!#REF!+Rat!#REF!+MM!#REF!+Lib!#REF!+Pry!#REF!+Hal!#REF!+Cem!#REF!+Par!#REF!+EDv!G157+Str!#REF!+Ele!#REF!+Wat!#REF!+San!#REF!+Ref!#REF!</f>
        <v>#REF!</v>
      </c>
      <c r="H157" s="89" t="e">
        <f>+Cs!#REF!+Fin!#REF!+Rat!#REF!+MM!#REF!+Lib!#REF!+Pry!#REF!+Hal!#REF!+Cem!#REF!+Par!#REF!+EDv!H157+Str!#REF!+Ele!#REF!+Wat!#REF!+San!#REF!+Ref!#REF!</f>
        <v>#REF!</v>
      </c>
      <c r="I157" s="66" t="s">
        <v>2722</v>
      </c>
    </row>
    <row r="158" spans="1:9" x14ac:dyDescent="0.35">
      <c r="A158" s="66" t="s">
        <v>846</v>
      </c>
      <c r="B158" s="66" t="s">
        <v>543</v>
      </c>
      <c r="C158" s="89">
        <f>+Cs!B188+Fin!B188+Rat!B188+MM!B188+Lib!B188+Pry!B188+Hal!B188+Cem!B188+Par!B188+EDv!C158+Str!B188+Ele!B188+Wat!B188+San!B188+Ref!B188</f>
        <v>138000</v>
      </c>
      <c r="D158" s="89">
        <f>+Cs!C188+Fin!C188+Rat!C188+MM!C188+Lib!C188+Pry!C188+Hal!C188+Cem!C188+Par!C188+EDv!D158+Str!C188+Ele!C188+Wat!C188+San!C188+Ref!C188</f>
        <v>138000</v>
      </c>
      <c r="E158" s="89">
        <f>+Cs!D188+Fin!D188+Rat!D188+MM!D188+Lib!D188+Pry!D188+Hal!D188+Cem!D188+Par!D188+EDv!E158+Str!D188+Ele!D188+Wat!D188+San!D188+Ref!D188</f>
        <v>126518.92</v>
      </c>
      <c r="F158" s="89">
        <f>+Cs!E188+Fin!E188+Rat!E188+MM!E188+Lib!E188+Pry!E188+Hal!E188+Cem!E188+Par!E188+EDv!F158+Str!E188+Ele!E188+Wat!E188+San!E188+Ref!E188</f>
        <v>138000</v>
      </c>
      <c r="G158" s="89">
        <f>+Cs!F188+Fin!F188+Rat!F188+MM!F188+Lib!F188+Pry!F188+Hal!F188+Cem!F188+Par!F188+EDv!G158+Str!F188+Ele!F188+Wat!F188+San!F188+Ref!F188</f>
        <v>145400</v>
      </c>
      <c r="H158" s="89">
        <f>+Cs!G188+Fin!G188+Rat!G188+MM!G188+Lib!G188+Pry!G188+Hal!G188+Cem!G188+Par!G188+EDv!H158+Str!G188+Ele!G188+Wat!G188+San!G188+Ref!G188</f>
        <v>153300</v>
      </c>
      <c r="I158" s="66" t="s">
        <v>2722</v>
      </c>
    </row>
    <row r="159" spans="1:9" x14ac:dyDescent="0.35">
      <c r="A159" s="66" t="s">
        <v>665</v>
      </c>
      <c r="B159" s="66" t="s">
        <v>2650</v>
      </c>
      <c r="C159" s="89">
        <f>+Cs!B189+Fin!B189+Rat!B189+MM!B189+Lib!B189+Pry!B189+Hal!B189+Cem!B189+Par!B189+EDv!C159+Str!B189+Ele!B189+Wat!B189+San!B189+Ref!B189</f>
        <v>41800</v>
      </c>
      <c r="D159" s="89">
        <f>+Cs!C189+Fin!C189+Rat!C189+MM!C189+Lib!C189+Pry!C189+Hal!C189+Cem!C189+Par!C189+EDv!D159+Str!C189+Ele!C189+Wat!C189+San!C189+Ref!C189</f>
        <v>41800</v>
      </c>
      <c r="E159" s="89">
        <f>+Cs!D189+Fin!D189+Rat!D189+MM!D189+Lib!D189+Pry!D189+Hal!D189+Cem!D189+Par!D189+EDv!E159+Str!D189+Ele!D189+Wat!D189+San!D189+Ref!D189</f>
        <v>39032.54</v>
      </c>
      <c r="F159" s="89">
        <f>+Cs!E189+Fin!E189+Rat!E189+MM!E189+Lib!E189+Pry!E189+Hal!E189+Cem!E189+Par!E189+EDv!F159+Str!E189+Ele!E189+Wat!E189+San!E189+Ref!E189</f>
        <v>41900</v>
      </c>
      <c r="G159" s="89">
        <f>+Cs!F189+Fin!F189+Rat!F189+MM!F189+Lib!F189+Pry!F189+Hal!F189+Cem!F189+Par!F189+EDv!G159+Str!F189+Ele!F189+Wat!F189+San!F189+Ref!F189</f>
        <v>44700</v>
      </c>
      <c r="H159" s="89">
        <f>+Cs!G189+Fin!G189+Rat!G189+MM!G189+Lib!G189+Pry!G189+Hal!G189+Cem!G189+Par!G189+EDv!H159+Str!G189+Ele!G189+Wat!G189+San!G189+Ref!G189</f>
        <v>47600</v>
      </c>
      <c r="I159" s="66" t="s">
        <v>2722</v>
      </c>
    </row>
    <row r="160" spans="1:9" x14ac:dyDescent="0.35">
      <c r="A160" s="66" t="s">
        <v>75</v>
      </c>
      <c r="B160" s="66" t="s">
        <v>76</v>
      </c>
      <c r="C160" s="89">
        <f>+Cs!B190+Fin!B190+Rat!B190+MM!B190+Lib!B190+Pry!B190+Hal!B190+Cem!B190+Par!B190+EDv!C160+Str!B190+Ele!B190+Wat!B190+San!B190+Ref!B190</f>
        <v>236700</v>
      </c>
      <c r="D160" s="89">
        <f>+Cs!C190+Fin!C190+Rat!C190+MM!C190+Lib!C190+Pry!C190+Hal!C190+Cem!C190+Par!C190+EDv!D160+Str!C190+Ele!C190+Wat!C190+San!C190+Ref!C190</f>
        <v>236700</v>
      </c>
      <c r="E160" s="89">
        <f>+Cs!D190+Fin!D190+Rat!D190+MM!D190+Lib!D190+Pry!D190+Hal!D190+Cem!D190+Par!D190+EDv!E160+Str!D190+Ele!D190+Wat!D190+San!D190+Ref!D190</f>
        <v>223314.38</v>
      </c>
      <c r="F160" s="89">
        <f>+Cs!E190+Fin!E190+Rat!E190+MM!E190+Lib!E190+Pry!E190+Hal!E190+Cem!E190+Par!E190+EDv!F160+Str!E190+Ele!E190+Wat!E190+San!E190+Ref!E190</f>
        <v>243700</v>
      </c>
      <c r="G160" s="89">
        <f>+Cs!F190+Fin!F190+Rat!F190+MM!F190+Lib!F190+Pry!F190+Hal!F190+Cem!F190+Par!F190+EDv!G160+Str!F190+Ele!F190+Wat!F190+San!F190+Ref!F190</f>
        <v>281500</v>
      </c>
      <c r="H160" s="89">
        <f>+Cs!G190+Fin!G190+Rat!G190+MM!G190+Lib!G190+Pry!G190+Hal!G190+Cem!G190+Par!G190+EDv!H160+Str!G190+Ele!G190+Wat!G190+San!G190+Ref!G190</f>
        <v>296700</v>
      </c>
      <c r="I160" s="66" t="s">
        <v>2722</v>
      </c>
    </row>
    <row r="161" spans="1:9" x14ac:dyDescent="0.35">
      <c r="A161" s="66" t="s">
        <v>407</v>
      </c>
      <c r="B161" s="66" t="s">
        <v>74</v>
      </c>
      <c r="C161" s="89" t="e">
        <f>+Cs!#REF!+Fin!#REF!+Rat!#REF!+MM!#REF!+Lib!#REF!+Pry!#REF!+Hal!#REF!+Cem!#REF!+Par!#REF!+EDv!C161+Str!#REF!+Ele!#REF!+Wat!#REF!+San!#REF!+Ref!#REF!</f>
        <v>#REF!</v>
      </c>
      <c r="D161" s="89" t="e">
        <f>+Cs!#REF!+Fin!#REF!+Rat!#REF!+MM!#REF!+Lib!#REF!+Pry!#REF!+Hal!#REF!+Cem!#REF!+Par!#REF!+EDv!D161+Str!#REF!+Ele!#REF!+Wat!#REF!+San!#REF!+Ref!#REF!</f>
        <v>#REF!</v>
      </c>
      <c r="E161" s="89" t="e">
        <f>+Cs!#REF!+Fin!#REF!+Rat!#REF!+MM!#REF!+Lib!#REF!+Pry!#REF!+Hal!#REF!+Cem!#REF!+Par!#REF!+EDv!E161+Str!#REF!+Ele!#REF!+Wat!#REF!+San!#REF!+Ref!#REF!</f>
        <v>#REF!</v>
      </c>
      <c r="F161" s="89" t="e">
        <f>+Cs!#REF!+Fin!#REF!+Rat!#REF!+MM!#REF!+Lib!#REF!+Pry!#REF!+Hal!#REF!+Cem!#REF!+Par!#REF!+EDv!F161+Str!#REF!+Ele!#REF!+Wat!#REF!+San!#REF!+Ref!#REF!</f>
        <v>#REF!</v>
      </c>
      <c r="G161" s="89" t="e">
        <f>+Cs!#REF!+Fin!#REF!+Rat!#REF!+MM!#REF!+Lib!#REF!+Pry!#REF!+Hal!#REF!+Cem!#REF!+Par!#REF!+EDv!G161+Str!#REF!+Ele!#REF!+Wat!#REF!+San!#REF!+Ref!#REF!</f>
        <v>#REF!</v>
      </c>
      <c r="H161" s="89" t="e">
        <f>+Cs!#REF!+Fin!#REF!+Rat!#REF!+MM!#REF!+Lib!#REF!+Pry!#REF!+Hal!#REF!+Cem!#REF!+Par!#REF!+EDv!H161+Str!#REF!+Ele!#REF!+Wat!#REF!+San!#REF!+Ref!#REF!</f>
        <v>#REF!</v>
      </c>
      <c r="I161" s="66" t="s">
        <v>2722</v>
      </c>
    </row>
    <row r="162" spans="1:9" x14ac:dyDescent="0.35">
      <c r="A162" s="66" t="s">
        <v>505</v>
      </c>
      <c r="B162" s="66" t="s">
        <v>506</v>
      </c>
      <c r="C162" s="89">
        <f>+Cs!B191+Fin!B191+Rat!B191+MM!B191+Lib!B191+Pry!B191+Hal!B191+Cem!B191+Par!B191+EDv!C162+Str!B191+Ele!B191+Wat!B191+San!B191+Ref!B191</f>
        <v>1456800</v>
      </c>
      <c r="D162" s="89">
        <f>+Cs!C191+Fin!C191+Rat!C191+MM!C191+Lib!C191+Pry!C191+Hal!C191+Cem!C191+Par!C191+EDv!D162+Str!C191+Ele!C191+Wat!C191+San!C191+Ref!C191</f>
        <v>1456800</v>
      </c>
      <c r="E162" s="89">
        <f>+Cs!D191+Fin!D191+Rat!D191+MM!D191+Lib!D191+Pry!D191+Hal!D191+Cem!D191+Par!D191+EDv!E162+Str!D191+Ele!D191+Wat!D191+San!D191+Ref!D191</f>
        <v>1376074.41</v>
      </c>
      <c r="F162" s="89">
        <f>+Cs!E191+Fin!E191+Rat!E191+MM!E191+Lib!E191+Pry!E191+Hal!E191+Cem!E191+Par!E191+EDv!F162+Str!E191+Ele!E191+Wat!E191+San!E191+Ref!E191</f>
        <v>1537900</v>
      </c>
      <c r="G162" s="89">
        <f>+Cs!F191+Fin!F191+Rat!F191+MM!F191+Lib!F191+Pry!F191+Hal!F191+Cem!F191+Par!F191+EDv!G162+Str!F191+Ele!F191+Wat!F191+San!F191+Ref!F191</f>
        <v>1638700</v>
      </c>
      <c r="H162" s="89">
        <f>+Cs!G191+Fin!G191+Rat!G191+MM!G191+Lib!G191+Pry!G191+Hal!G191+Cem!G191+Par!G191+EDv!H162+Str!G191+Ele!G191+Wat!G191+San!G191+Ref!G191</f>
        <v>1745600</v>
      </c>
      <c r="I162" s="66" t="s">
        <v>2722</v>
      </c>
    </row>
    <row r="163" spans="1:9" x14ac:dyDescent="0.35">
      <c r="A163" s="66" t="s">
        <v>2603</v>
      </c>
      <c r="B163" s="66" t="s">
        <v>2604</v>
      </c>
      <c r="C163" s="89" t="e">
        <f>+Cs!#REF!+Fin!#REF!+Rat!#REF!+MM!#REF!+Lib!#REF!+Pry!#REF!+Hal!#REF!+Cem!#REF!+Par!#REF!+EDv!C163+Str!#REF!+Ele!#REF!+Wat!#REF!+San!#REF!+Ref!#REF!</f>
        <v>#REF!</v>
      </c>
      <c r="D163" s="89" t="e">
        <f>+Cs!#REF!+Fin!#REF!+Rat!#REF!+MM!#REF!+Lib!#REF!+Pry!#REF!+Hal!#REF!+Cem!#REF!+Par!#REF!+EDv!D163+Str!#REF!+Ele!#REF!+Wat!#REF!+San!#REF!+Ref!#REF!</f>
        <v>#REF!</v>
      </c>
      <c r="E163" s="89" t="e">
        <f>+Cs!#REF!+Fin!#REF!+Rat!#REF!+MM!#REF!+Lib!#REF!+Pry!#REF!+Hal!#REF!+Cem!#REF!+Par!#REF!+EDv!E163+Str!#REF!+Ele!#REF!+Wat!#REF!+San!#REF!+Ref!#REF!</f>
        <v>#REF!</v>
      </c>
      <c r="F163" s="89" t="e">
        <f>+Cs!#REF!+Fin!#REF!+Rat!#REF!+MM!#REF!+Lib!#REF!+Pry!#REF!+Hal!#REF!+Cem!#REF!+Par!#REF!+EDv!F163+Str!#REF!+Ele!#REF!+Wat!#REF!+San!#REF!+Ref!#REF!</f>
        <v>#REF!</v>
      </c>
      <c r="G163" s="89" t="e">
        <f>+Cs!#REF!+Fin!#REF!+Rat!#REF!+MM!#REF!+Lib!#REF!+Pry!#REF!+Hal!#REF!+Cem!#REF!+Par!#REF!+EDv!G163+Str!#REF!+Ele!#REF!+Wat!#REF!+San!#REF!+Ref!#REF!</f>
        <v>#REF!</v>
      </c>
      <c r="H163" s="89" t="e">
        <f>+Cs!#REF!+Fin!#REF!+Rat!#REF!+MM!#REF!+Lib!#REF!+Pry!#REF!+Hal!#REF!+Cem!#REF!+Par!#REF!+EDv!H163+Str!#REF!+Ele!#REF!+Wat!#REF!+San!#REF!+Ref!#REF!</f>
        <v>#REF!</v>
      </c>
      <c r="I163" s="66" t="s">
        <v>2722</v>
      </c>
    </row>
    <row r="164" spans="1:9" x14ac:dyDescent="0.35">
      <c r="A164" s="66" t="s">
        <v>271</v>
      </c>
      <c r="B164" s="66" t="s">
        <v>272</v>
      </c>
      <c r="C164" s="89" t="e">
        <f>+Cs!#REF!+Fin!#REF!+Rat!#REF!+MM!#REF!+Lib!#REF!+Pry!#REF!+Hal!#REF!+Cem!#REF!+Par!#REF!+EDv!C164+Str!#REF!+Ele!#REF!+Wat!#REF!+San!#REF!+Ref!#REF!</f>
        <v>#REF!</v>
      </c>
      <c r="D164" s="89" t="e">
        <f>+Cs!#REF!+Fin!#REF!+Rat!#REF!+MM!#REF!+Lib!#REF!+Pry!#REF!+Hal!#REF!+Cem!#REF!+Par!#REF!+EDv!D164+Str!#REF!+Ele!#REF!+Wat!#REF!+San!#REF!+Ref!#REF!</f>
        <v>#REF!</v>
      </c>
      <c r="E164" s="89" t="e">
        <f>+Cs!#REF!+Fin!#REF!+Rat!#REF!+MM!#REF!+Lib!#REF!+Pry!#REF!+Hal!#REF!+Cem!#REF!+Par!#REF!+EDv!E164+Str!#REF!+Ele!#REF!+Wat!#REF!+San!#REF!+Ref!#REF!</f>
        <v>#REF!</v>
      </c>
      <c r="F164" s="89" t="e">
        <f>+Cs!#REF!+Fin!#REF!+Rat!#REF!+MM!#REF!+Lib!#REF!+Pry!#REF!+Hal!#REF!+Cem!#REF!+Par!#REF!+EDv!F164+Str!#REF!+Ele!#REF!+Wat!#REF!+San!#REF!+Ref!#REF!</f>
        <v>#REF!</v>
      </c>
      <c r="G164" s="89" t="e">
        <f>+Cs!#REF!+Fin!#REF!+Rat!#REF!+MM!#REF!+Lib!#REF!+Pry!#REF!+Hal!#REF!+Cem!#REF!+Par!#REF!+EDv!G164+Str!#REF!+Ele!#REF!+Wat!#REF!+San!#REF!+Ref!#REF!</f>
        <v>#REF!</v>
      </c>
      <c r="H164" s="89" t="e">
        <f>+Cs!#REF!+Fin!#REF!+Rat!#REF!+MM!#REF!+Lib!#REF!+Pry!#REF!+Hal!#REF!+Cem!#REF!+Par!#REF!+EDv!H164+Str!#REF!+Ele!#REF!+Wat!#REF!+San!#REF!+Ref!#REF!</f>
        <v>#REF!</v>
      </c>
      <c r="I164" s="66" t="s">
        <v>2722</v>
      </c>
    </row>
    <row r="165" spans="1:9" x14ac:dyDescent="0.35">
      <c r="A165" s="66" t="s">
        <v>533</v>
      </c>
      <c r="B165" s="66" t="s">
        <v>331</v>
      </c>
      <c r="C165" s="89" t="e">
        <f>+Cs!#REF!+Fin!#REF!+Rat!#REF!+MM!#REF!+Lib!#REF!+Pry!#REF!+Hal!#REF!+Cem!#REF!+Par!#REF!+EDv!C165+Str!#REF!+Ele!#REF!+Wat!#REF!+San!#REF!+Ref!#REF!</f>
        <v>#REF!</v>
      </c>
      <c r="D165" s="89" t="e">
        <f>+Cs!#REF!+Fin!#REF!+Rat!#REF!+MM!#REF!+Lib!#REF!+Pry!#REF!+Hal!#REF!+Cem!#REF!+Par!#REF!+EDv!D165+Str!#REF!+Ele!#REF!+Wat!#REF!+San!#REF!+Ref!#REF!</f>
        <v>#REF!</v>
      </c>
      <c r="E165" s="89" t="e">
        <f>+Cs!#REF!+Fin!#REF!+Rat!#REF!+MM!#REF!+Lib!#REF!+Pry!#REF!+Hal!#REF!+Cem!#REF!+Par!#REF!+EDv!E165+Str!#REF!+Ele!#REF!+Wat!#REF!+San!#REF!+Ref!#REF!</f>
        <v>#REF!</v>
      </c>
      <c r="F165" s="89" t="e">
        <f>+Cs!#REF!+Fin!#REF!+Rat!#REF!+MM!#REF!+Lib!#REF!+Pry!#REF!+Hal!#REF!+Cem!#REF!+Par!#REF!+EDv!F165+Str!#REF!+Ele!#REF!+Wat!#REF!+San!#REF!+Ref!#REF!</f>
        <v>#REF!</v>
      </c>
      <c r="G165" s="89" t="e">
        <f>+Cs!#REF!+Fin!#REF!+Rat!#REF!+MM!#REF!+Lib!#REF!+Pry!#REF!+Hal!#REF!+Cem!#REF!+Par!#REF!+EDv!G165+Str!#REF!+Ele!#REF!+Wat!#REF!+San!#REF!+Ref!#REF!</f>
        <v>#REF!</v>
      </c>
      <c r="H165" s="89" t="e">
        <f>+Cs!#REF!+Fin!#REF!+Rat!#REF!+MM!#REF!+Lib!#REF!+Pry!#REF!+Hal!#REF!+Cem!#REF!+Par!#REF!+EDv!H165+Str!#REF!+Ele!#REF!+Wat!#REF!+San!#REF!+Ref!#REF!</f>
        <v>#REF!</v>
      </c>
      <c r="I165" s="66" t="s">
        <v>2721</v>
      </c>
    </row>
    <row r="166" spans="1:9" x14ac:dyDescent="0.35">
      <c r="A166" s="66" t="s">
        <v>233</v>
      </c>
      <c r="B166" s="66" t="s">
        <v>234</v>
      </c>
      <c r="C166" s="89">
        <f>+Cs!B197+Fin!B197+Rat!B197+MM!B197+Lib!B197+Pry!B197+Hal!B197+Cem!B197+Par!B197+EDv!C166+Str!B197+Ele!B197+Wat!B197+San!B197+Ref!B197</f>
        <v>146200</v>
      </c>
      <c r="D166" s="89">
        <f>+Cs!C197+Fin!C197+Rat!C197+MM!C197+Lib!C197+Pry!C197+Hal!C197+Cem!C197+Par!C197+EDv!D166+Str!C197+Ele!C197+Wat!C197+San!C197+Ref!C197</f>
        <v>146200</v>
      </c>
      <c r="E166" s="89">
        <f>+Cs!D197+Fin!D197+Rat!D197+MM!D197+Lib!D197+Pry!D197+Hal!D197+Cem!D197+Par!D197+EDv!E166+Str!D197+Ele!D197+Wat!D197+San!D197+Ref!D197</f>
        <v>146200</v>
      </c>
      <c r="F166" s="89">
        <f>+Cs!E197+Fin!E197+Rat!E197+MM!E197+Lib!E197+Pry!E197+Hal!E197+Cem!E197+Par!E197+EDv!F166+Str!E197+Ele!E197+Wat!E197+San!E197+Ref!E197</f>
        <v>146200</v>
      </c>
      <c r="G166" s="89">
        <f>+Cs!F197+Fin!F197+Rat!F197+MM!F197+Lib!F197+Pry!F197+Hal!F197+Cem!F197+Par!F197+EDv!G166+Str!F197+Ele!F197+Wat!F197+San!F197+Ref!F197</f>
        <v>146200</v>
      </c>
      <c r="H166" s="89">
        <f>+Cs!G197+Fin!G197+Rat!G197+MM!G197+Lib!G197+Pry!G197+Hal!G197+Cem!G197+Par!G197+EDv!H166+Str!G197+Ele!G197+Wat!G197+San!G197+Ref!G197</f>
        <v>146200</v>
      </c>
      <c r="I166" s="66" t="s">
        <v>2722</v>
      </c>
    </row>
    <row r="167" spans="1:9" x14ac:dyDescent="0.35">
      <c r="A167" s="66" t="s">
        <v>335</v>
      </c>
      <c r="B167" s="66" t="s">
        <v>68</v>
      </c>
      <c r="C167" s="89" t="e">
        <f>+Cs!#REF!+Fin!#REF!+Rat!#REF!+MM!#REF!+Lib!#REF!+Pry!#REF!+Hal!#REF!+Cem!#REF!+Par!#REF!+EDv!C167+Str!#REF!+Ele!#REF!+Wat!#REF!+San!#REF!+Ref!#REF!</f>
        <v>#REF!</v>
      </c>
      <c r="D167" s="89" t="e">
        <f>+Cs!#REF!+Fin!#REF!+Rat!#REF!+MM!#REF!+Lib!#REF!+Pry!#REF!+Hal!#REF!+Cem!#REF!+Par!#REF!+EDv!D167+Str!#REF!+Ele!#REF!+Wat!#REF!+San!#REF!+Ref!#REF!</f>
        <v>#REF!</v>
      </c>
      <c r="E167" s="89" t="e">
        <f>+Cs!#REF!+Fin!#REF!+Rat!#REF!+MM!#REF!+Lib!#REF!+Pry!#REF!+Hal!#REF!+Cem!#REF!+Par!#REF!+EDv!E167+Str!#REF!+Ele!#REF!+Wat!#REF!+San!#REF!+Ref!#REF!</f>
        <v>#REF!</v>
      </c>
      <c r="F167" s="89" t="e">
        <f>+Cs!#REF!+Fin!#REF!+Rat!#REF!+MM!#REF!+Lib!#REF!+Pry!#REF!+Hal!#REF!+Cem!#REF!+Par!#REF!+EDv!F167+Str!#REF!+Ele!#REF!+Wat!#REF!+San!#REF!+Ref!#REF!</f>
        <v>#REF!</v>
      </c>
      <c r="G167" s="89" t="e">
        <f>+Cs!#REF!+Fin!#REF!+Rat!#REF!+MM!#REF!+Lib!#REF!+Pry!#REF!+Hal!#REF!+Cem!#REF!+Par!#REF!+EDv!G167+Str!#REF!+Ele!#REF!+Wat!#REF!+San!#REF!+Ref!#REF!</f>
        <v>#REF!</v>
      </c>
      <c r="H167" s="89" t="e">
        <f>+Cs!#REF!+Fin!#REF!+Rat!#REF!+MM!#REF!+Lib!#REF!+Pry!#REF!+Hal!#REF!+Cem!#REF!+Par!#REF!+EDv!H167+Str!#REF!+Ele!#REF!+Wat!#REF!+San!#REF!+Ref!#REF!</f>
        <v>#REF!</v>
      </c>
      <c r="I167" s="66" t="s">
        <v>2726</v>
      </c>
    </row>
    <row r="168" spans="1:9" x14ac:dyDescent="0.35">
      <c r="A168" s="66"/>
      <c r="B168" s="66" t="s">
        <v>2645</v>
      </c>
      <c r="C168" s="89">
        <f>+Cs!B198+Fin!B198+Rat!B198+MM!B198+Lib!B198+Pry!B198+Hal!B198+Cem!B198+Par!B198+EDv!C168+Str!B198+Ele!B198+Wat!B198+San!B198+Ref!B198</f>
        <v>126300</v>
      </c>
      <c r="D168" s="89">
        <f>+Cs!C198+Fin!C198+Rat!C198+MM!C198+Lib!C198+Pry!C198+Hal!C198+Cem!C198+Par!C198+EDv!D168+Str!C198+Ele!C198+Wat!C198+San!C198+Ref!C198</f>
        <v>126300</v>
      </c>
      <c r="E168" s="89">
        <f>+Cs!D198+Fin!D198+Rat!D198+MM!D198+Lib!D198+Pry!D198+Hal!D198+Cem!D198+Par!D198+EDv!E168+Str!D198+Ele!D198+Wat!D198+San!D198+Ref!D198</f>
        <v>117566.43000000001</v>
      </c>
      <c r="F168" s="89">
        <f>+Cs!E198+Fin!E198+Rat!E198+MM!E198+Lib!E198+Pry!E198+Hal!E198+Cem!E198+Par!E198+EDv!F168+Str!E198+Ele!E198+Wat!E198+San!E198+Ref!E198</f>
        <v>126400</v>
      </c>
      <c r="G168" s="89">
        <f>+Cs!F198+Fin!F198+Rat!F198+MM!F198+Lib!F198+Pry!F198+Hal!F198+Cem!F198+Par!F198+EDv!G168+Str!F198+Ele!F198+Wat!F198+San!F198+Ref!F198</f>
        <v>135000</v>
      </c>
      <c r="H168" s="89">
        <f>+Cs!G198+Fin!G198+Rat!G198+MM!G198+Lib!G198+Pry!G198+Hal!G198+Cem!G198+Par!G198+EDv!H168+Str!G198+Ele!G198+Wat!G198+San!G198+Ref!G198</f>
        <v>144100</v>
      </c>
      <c r="I168" s="66" t="s">
        <v>2728</v>
      </c>
    </row>
    <row r="169" spans="1:9" x14ac:dyDescent="0.35">
      <c r="A169" s="66" t="s">
        <v>842</v>
      </c>
      <c r="B169" s="66" t="s">
        <v>90</v>
      </c>
      <c r="C169" s="89">
        <f>+Cs!B199+Fin!B199+Rat!B199+MM!B199+Lib!B199+Pry!B199+Hal!B199+Cem!B199+Par!B199+EDv!C169+Str!B199+Ele!B199+Wat!B199+San!B199+Ref!B199</f>
        <v>5000000</v>
      </c>
      <c r="D169" s="89">
        <f>+Cs!C199+Fin!C199+Rat!C199+MM!C199+Lib!C199+Pry!C199+Hal!C199+Cem!C199+Par!C199+EDv!D169+Str!C199+Ele!C199+Wat!C199+San!C199+Ref!C199</f>
        <v>0</v>
      </c>
      <c r="E169" s="89">
        <f>+Cs!D199+Fin!D199+Rat!D199+MM!D199+Lib!D199+Pry!D199+Hal!D199+Cem!D199+Par!D199+EDv!E169+Str!D199+Ele!D199+Wat!D199+San!D199+Ref!D199</f>
        <v>0</v>
      </c>
      <c r="F169" s="89">
        <f>+Cs!E199+Fin!E199+Rat!E199+MM!E199+Lib!E199+Pry!E199+Hal!E199+Cem!E199+Par!E199+EDv!F169+Str!E199+Ele!E199+Wat!E199+San!E199+Ref!E199</f>
        <v>0</v>
      </c>
      <c r="G169" s="89">
        <f>+Cs!F199+Fin!F199+Rat!F199+MM!F199+Lib!F199+Pry!F199+Hal!F199+Cem!F199+Par!F199+EDv!G169+Str!F199+Ele!F199+Wat!F199+San!F199+Ref!F199</f>
        <v>0</v>
      </c>
      <c r="H169" s="89">
        <f>+Cs!G199+Fin!G199+Rat!G199+MM!G199+Lib!G199+Pry!G199+Hal!G199+Cem!G199+Par!G199+EDv!H169+Str!G199+Ele!G199+Wat!G199+San!G199+Ref!G199</f>
        <v>0</v>
      </c>
      <c r="I169" s="66" t="s">
        <v>2722</v>
      </c>
    </row>
    <row r="170" spans="1:9" x14ac:dyDescent="0.35">
      <c r="A170" s="66" t="s">
        <v>245</v>
      </c>
      <c r="B170" s="66" t="s">
        <v>246</v>
      </c>
      <c r="C170" s="89">
        <f>+Cs!B205+Fin!B205+Rat!B205+MM!B205+Lib!B205+Pry!B205+Hal!B205+Cem!B205+Par!B205+EDv!C170+Str!B205+Ele!B205+Wat!B205+San!B205+Ref!B205</f>
        <v>0</v>
      </c>
      <c r="D170" s="89">
        <f>+Cs!C205+Fin!C205+Rat!C205+MM!C205+Lib!C205+Pry!C205+Hal!C205+Cem!C205+Par!C205+EDv!D170+Str!C205+Ele!C205+Wat!C205+San!C205+Ref!C205</f>
        <v>0</v>
      </c>
      <c r="E170" s="89">
        <f>+Cs!D205+Fin!D205+Rat!D205+MM!D205+Lib!D205+Pry!D205+Hal!D205+Cem!D205+Par!D205+EDv!E170+Str!D205+Ele!D205+Wat!D205+San!D205+Ref!D205</f>
        <v>0</v>
      </c>
      <c r="F170" s="89">
        <f>+Cs!E205+Fin!E205+Rat!E205+MM!E205+Lib!E205+Pry!E205+Hal!E205+Cem!E205+Par!E205+EDv!F170+Str!E205+Ele!E205+Wat!E205+San!E205+Ref!E205</f>
        <v>70000</v>
      </c>
      <c r="G170" s="89">
        <f>+Cs!F205+Fin!F205+Rat!F205+MM!F205+Lib!F205+Pry!F205+Hal!F205+Cem!F205+Par!F205+EDv!G170+Str!F205+Ele!F205+Wat!F205+San!F205+Ref!F205</f>
        <v>0</v>
      </c>
      <c r="H170" s="89">
        <f>+Cs!G205+Fin!G205+Rat!G205+MM!G205+Lib!G205+Pry!G205+Hal!G205+Cem!G205+Par!G205+EDv!H170+Str!G205+Ele!G205+Wat!G205+San!G205+Ref!G205</f>
        <v>0</v>
      </c>
      <c r="I170" s="66" t="s">
        <v>2722</v>
      </c>
    </row>
    <row r="171" spans="1:9" x14ac:dyDescent="0.35">
      <c r="A171" s="66" t="s">
        <v>361</v>
      </c>
      <c r="B171" s="66" t="s">
        <v>240</v>
      </c>
      <c r="C171" s="89" t="e">
        <f>+Cs!#REF!+Fin!#REF!+Rat!#REF!+MM!#REF!+Lib!#REF!+Pry!#REF!+Hal!#REF!+Cem!#REF!+Par!#REF!+EDv!C171+Str!#REF!+Ele!#REF!+Wat!#REF!+San!#REF!+Ref!#REF!</f>
        <v>#REF!</v>
      </c>
      <c r="D171" s="89" t="e">
        <f>+Cs!#REF!+Fin!#REF!+Rat!#REF!+MM!#REF!+Lib!#REF!+Pry!#REF!+Hal!#REF!+Cem!#REF!+Par!#REF!+EDv!D171+Str!#REF!+Ele!#REF!+Wat!#REF!+San!#REF!+Ref!#REF!</f>
        <v>#REF!</v>
      </c>
      <c r="E171" s="89" t="e">
        <f>+Cs!#REF!+Fin!#REF!+Rat!#REF!+MM!#REF!+Lib!#REF!+Pry!#REF!+Hal!#REF!+Cem!#REF!+Par!#REF!+EDv!E171+Str!#REF!+Ele!#REF!+Wat!#REF!+San!#REF!+Ref!#REF!</f>
        <v>#REF!</v>
      </c>
      <c r="F171" s="89" t="e">
        <f>+Cs!#REF!+Fin!#REF!+Rat!#REF!+MM!#REF!+Lib!#REF!+Pry!#REF!+Hal!#REF!+Cem!#REF!+Par!#REF!+EDv!F171+Str!#REF!+Ele!#REF!+Wat!#REF!+San!#REF!+Ref!#REF!</f>
        <v>#REF!</v>
      </c>
      <c r="G171" s="89" t="e">
        <f>+Cs!#REF!+Fin!#REF!+Rat!#REF!+MM!#REF!+Lib!#REF!+Pry!#REF!+Hal!#REF!+Cem!#REF!+Par!#REF!+EDv!G171+Str!#REF!+Ele!#REF!+Wat!#REF!+San!#REF!+Ref!#REF!</f>
        <v>#REF!</v>
      </c>
      <c r="H171" s="89" t="e">
        <f>+Cs!#REF!+Fin!#REF!+Rat!#REF!+MM!#REF!+Lib!#REF!+Pry!#REF!+Hal!#REF!+Cem!#REF!+Par!#REF!+EDv!H171+Str!#REF!+Ele!#REF!+Wat!#REF!+San!#REF!+Ref!#REF!</f>
        <v>#REF!</v>
      </c>
      <c r="I171" s="66" t="s">
        <v>2722</v>
      </c>
    </row>
    <row r="172" spans="1:9" x14ac:dyDescent="0.35">
      <c r="A172" s="66" t="s">
        <v>360</v>
      </c>
      <c r="B172" s="66" t="s">
        <v>238</v>
      </c>
      <c r="C172" s="89" t="e">
        <f>+Cs!#REF!+Fin!#REF!+Rat!#REF!+MM!#REF!+Lib!#REF!+Pry!#REF!+Hal!#REF!+Cem!#REF!+Par!#REF!+EDv!C172+Str!#REF!+Ele!#REF!+Wat!#REF!+San!#REF!+Ref!#REF!</f>
        <v>#REF!</v>
      </c>
      <c r="D172" s="89" t="e">
        <f>+Cs!#REF!+Fin!#REF!+Rat!#REF!+MM!#REF!+Lib!#REF!+Pry!#REF!+Hal!#REF!+Cem!#REF!+Par!#REF!+EDv!D172+Str!#REF!+Ele!#REF!+Wat!#REF!+San!#REF!+Ref!#REF!</f>
        <v>#REF!</v>
      </c>
      <c r="E172" s="89" t="e">
        <f>+Cs!#REF!+Fin!#REF!+Rat!#REF!+MM!#REF!+Lib!#REF!+Pry!#REF!+Hal!#REF!+Cem!#REF!+Par!#REF!+EDv!E172+Str!#REF!+Ele!#REF!+Wat!#REF!+San!#REF!+Ref!#REF!</f>
        <v>#REF!</v>
      </c>
      <c r="F172" s="89" t="e">
        <f>+Cs!#REF!+Fin!#REF!+Rat!#REF!+MM!#REF!+Lib!#REF!+Pry!#REF!+Hal!#REF!+Cem!#REF!+Par!#REF!+EDv!F172+Str!#REF!+Ele!#REF!+Wat!#REF!+San!#REF!+Ref!#REF!</f>
        <v>#REF!</v>
      </c>
      <c r="G172" s="89" t="e">
        <f>+Cs!#REF!+Fin!#REF!+Rat!#REF!+MM!#REF!+Lib!#REF!+Pry!#REF!+Hal!#REF!+Cem!#REF!+Par!#REF!+EDv!G172+Str!#REF!+Ele!#REF!+Wat!#REF!+San!#REF!+Ref!#REF!</f>
        <v>#REF!</v>
      </c>
      <c r="H172" s="89" t="e">
        <f>+Cs!#REF!+Fin!#REF!+Rat!#REF!+MM!#REF!+Lib!#REF!+Pry!#REF!+Hal!#REF!+Cem!#REF!+Par!#REF!+EDv!H172+Str!#REF!+Ele!#REF!+Wat!#REF!+San!#REF!+Ref!#REF!</f>
        <v>#REF!</v>
      </c>
      <c r="I172" s="66" t="s">
        <v>2722</v>
      </c>
    </row>
    <row r="173" spans="1:9" x14ac:dyDescent="0.35">
      <c r="A173" s="66" t="s">
        <v>81</v>
      </c>
      <c r="B173" s="66" t="s">
        <v>82</v>
      </c>
      <c r="C173" s="89" t="e">
        <f>+Cs!#REF!+Fin!#REF!+Rat!#REF!+MM!#REF!+Lib!#REF!+Pry!#REF!+Hal!#REF!+Cem!#REF!+Par!#REF!+EDv!C173+Str!#REF!+Ele!#REF!+Wat!#REF!+San!#REF!+Ref!#REF!</f>
        <v>#REF!</v>
      </c>
      <c r="D173" s="89" t="e">
        <f>+Cs!#REF!+Fin!#REF!+Rat!#REF!+MM!#REF!+Lib!#REF!+Pry!#REF!+Hal!#REF!+Cem!#REF!+Par!#REF!+EDv!D173+Str!#REF!+Ele!#REF!+Wat!#REF!+San!#REF!+Ref!#REF!</f>
        <v>#REF!</v>
      </c>
      <c r="E173" s="89" t="e">
        <f>+Cs!#REF!+Fin!#REF!+Rat!#REF!+MM!#REF!+Lib!#REF!+Pry!#REF!+Hal!#REF!+Cem!#REF!+Par!#REF!+EDv!E173+Str!#REF!+Ele!#REF!+Wat!#REF!+San!#REF!+Ref!#REF!</f>
        <v>#REF!</v>
      </c>
      <c r="F173" s="89" t="e">
        <f>+Cs!#REF!+Fin!#REF!+Rat!#REF!+MM!#REF!+Lib!#REF!+Pry!#REF!+Hal!#REF!+Cem!#REF!+Par!#REF!+EDv!F173+Str!#REF!+Ele!#REF!+Wat!#REF!+San!#REF!+Ref!#REF!</f>
        <v>#REF!</v>
      </c>
      <c r="G173" s="89" t="e">
        <f>+Cs!#REF!+Fin!#REF!+Rat!#REF!+MM!#REF!+Lib!#REF!+Pry!#REF!+Hal!#REF!+Cem!#REF!+Par!#REF!+EDv!G173+Str!#REF!+Ele!#REF!+Wat!#REF!+San!#REF!+Ref!#REF!</f>
        <v>#REF!</v>
      </c>
      <c r="H173" s="89" t="e">
        <f>+Cs!#REF!+Fin!#REF!+Rat!#REF!+MM!#REF!+Lib!#REF!+Pry!#REF!+Hal!#REF!+Cem!#REF!+Par!#REF!+EDv!H173+Str!#REF!+Ele!#REF!+Wat!#REF!+San!#REF!+Ref!#REF!</f>
        <v>#REF!</v>
      </c>
      <c r="I173" s="66" t="s">
        <v>2722</v>
      </c>
    </row>
    <row r="174" spans="1:9" x14ac:dyDescent="0.35">
      <c r="A174" s="66" t="s">
        <v>366</v>
      </c>
      <c r="B174" s="66" t="s">
        <v>122</v>
      </c>
      <c r="C174" s="89" t="e">
        <f>+Cs!#REF!+Fin!#REF!+Rat!#REF!+MM!#REF!+Lib!#REF!+Pry!#REF!+Hal!#REF!+Cem!#REF!+Par!#REF!+EDv!C174+Str!#REF!+Ele!#REF!+Wat!#REF!+San!#REF!+Ref!#REF!</f>
        <v>#REF!</v>
      </c>
      <c r="D174" s="89" t="e">
        <f>+Cs!#REF!+Fin!#REF!+Rat!#REF!+MM!#REF!+Lib!#REF!+Pry!#REF!+Hal!#REF!+Cem!#REF!+Par!#REF!+EDv!D174+Str!#REF!+Ele!#REF!+Wat!#REF!+San!#REF!+Ref!#REF!</f>
        <v>#REF!</v>
      </c>
      <c r="E174" s="89" t="e">
        <f>+Cs!#REF!+Fin!#REF!+Rat!#REF!+MM!#REF!+Lib!#REF!+Pry!#REF!+Hal!#REF!+Cem!#REF!+Par!#REF!+EDv!E174+Str!#REF!+Ele!#REF!+Wat!#REF!+San!#REF!+Ref!#REF!</f>
        <v>#REF!</v>
      </c>
      <c r="F174" s="89" t="e">
        <f>+Cs!#REF!+Fin!#REF!+Rat!#REF!+MM!#REF!+Lib!#REF!+Pry!#REF!+Hal!#REF!+Cem!#REF!+Par!#REF!+EDv!F174+Str!#REF!+Ele!#REF!+Wat!#REF!+San!#REF!+Ref!#REF!</f>
        <v>#REF!</v>
      </c>
      <c r="G174" s="89" t="e">
        <f>+Cs!#REF!+Fin!#REF!+Rat!#REF!+MM!#REF!+Lib!#REF!+Pry!#REF!+Hal!#REF!+Cem!#REF!+Par!#REF!+EDv!G174+Str!#REF!+Ele!#REF!+Wat!#REF!+San!#REF!+Ref!#REF!</f>
        <v>#REF!</v>
      </c>
      <c r="H174" s="89" t="e">
        <f>+Cs!#REF!+Fin!#REF!+Rat!#REF!+MM!#REF!+Lib!#REF!+Pry!#REF!+Hal!#REF!+Cem!#REF!+Par!#REF!+EDv!H174+Str!#REF!+Ele!#REF!+Wat!#REF!+San!#REF!+Ref!#REF!</f>
        <v>#REF!</v>
      </c>
      <c r="I174" s="66" t="s">
        <v>2722</v>
      </c>
    </row>
    <row r="175" spans="1:9" x14ac:dyDescent="0.35">
      <c r="A175" s="66" t="s">
        <v>269</v>
      </c>
      <c r="B175" s="66" t="s">
        <v>270</v>
      </c>
      <c r="C175" s="89">
        <f>+Cs!B206+Fin!B206+Rat!B206+MM!B206+Lib!B206+Pry!B206+Hal!B206+Cem!B206+Par!B206+EDv!C175+Str!B206+Ele!B206+Wat!B206+San!B206+Ref!B206</f>
        <v>0</v>
      </c>
      <c r="D175" s="89">
        <f>+Cs!C206+Fin!C206+Rat!C206+MM!C206+Lib!C206+Pry!C206+Hal!C206+Cem!C206+Par!C206+EDv!D175+Str!C206+Ele!C206+Wat!C206+San!C206+Ref!C206</f>
        <v>0</v>
      </c>
      <c r="E175" s="89">
        <f>+Cs!D206+Fin!D206+Rat!D206+MM!D206+Lib!D206+Pry!D206+Hal!D206+Cem!D206+Par!D206+EDv!E175+Str!D206+Ele!D206+Wat!D206+San!D206+Ref!D206</f>
        <v>0</v>
      </c>
      <c r="F175" s="89">
        <f>+Cs!E206+Fin!E206+Rat!E206+MM!E206+Lib!E206+Pry!E206+Hal!E206+Cem!E206+Par!E206+EDv!F175+Str!E206+Ele!E206+Wat!E206+San!E206+Ref!E206</f>
        <v>90000</v>
      </c>
      <c r="G175" s="89">
        <f>+Cs!F206+Fin!F206+Rat!F206+MM!F206+Lib!F206+Pry!F206+Hal!F206+Cem!F206+Par!F206+EDv!G175+Str!F206+Ele!F206+Wat!F206+San!F206+Ref!F206</f>
        <v>0</v>
      </c>
      <c r="H175" s="89">
        <f>+Cs!G206+Fin!G206+Rat!G206+MM!G206+Lib!G206+Pry!G206+Hal!G206+Cem!G206+Par!G206+EDv!H175+Str!G206+Ele!G206+Wat!G206+San!G206+Ref!G206</f>
        <v>0</v>
      </c>
      <c r="I175" s="66" t="s">
        <v>2722</v>
      </c>
    </row>
    <row r="176" spans="1:9" x14ac:dyDescent="0.35">
      <c r="A176" s="66" t="s">
        <v>117</v>
      </c>
      <c r="B176" s="66" t="s">
        <v>118</v>
      </c>
      <c r="C176" s="89" t="e">
        <f>+Cs!#REF!+Fin!#REF!+Rat!#REF!+MM!#REF!+Lib!#REF!+Pry!#REF!+Hal!#REF!+Cem!#REF!+Par!#REF!+EDv!C176+Str!#REF!+Ele!#REF!+Wat!#REF!+San!#REF!+Ref!#REF!</f>
        <v>#REF!</v>
      </c>
      <c r="D176" s="89" t="e">
        <f>+Cs!#REF!+Fin!#REF!+Rat!#REF!+MM!#REF!+Lib!#REF!+Pry!#REF!+Hal!#REF!+Cem!#REF!+Par!#REF!+EDv!D176+Str!#REF!+Ele!#REF!+Wat!#REF!+San!#REF!+Ref!#REF!</f>
        <v>#REF!</v>
      </c>
      <c r="E176" s="89" t="e">
        <f>+Cs!#REF!+Fin!#REF!+Rat!#REF!+MM!#REF!+Lib!#REF!+Pry!#REF!+Hal!#REF!+Cem!#REF!+Par!#REF!+EDv!E176+Str!#REF!+Ele!#REF!+Wat!#REF!+San!#REF!+Ref!#REF!</f>
        <v>#REF!</v>
      </c>
      <c r="F176" s="89" t="e">
        <f>+Cs!#REF!+Fin!#REF!+Rat!#REF!+MM!#REF!+Lib!#REF!+Pry!#REF!+Hal!#REF!+Cem!#REF!+Par!#REF!+EDv!F176+Str!#REF!+Ele!#REF!+Wat!#REF!+San!#REF!+Ref!#REF!</f>
        <v>#REF!</v>
      </c>
      <c r="G176" s="89" t="e">
        <f>+Cs!#REF!+Fin!#REF!+Rat!#REF!+MM!#REF!+Lib!#REF!+Pry!#REF!+Hal!#REF!+Cem!#REF!+Par!#REF!+EDv!G176+Str!#REF!+Ele!#REF!+Wat!#REF!+San!#REF!+Ref!#REF!</f>
        <v>#REF!</v>
      </c>
      <c r="H176" s="89" t="e">
        <f>+Cs!#REF!+Fin!#REF!+Rat!#REF!+MM!#REF!+Lib!#REF!+Pry!#REF!+Hal!#REF!+Cem!#REF!+Par!#REF!+EDv!H176+Str!#REF!+Ele!#REF!+Wat!#REF!+San!#REF!+Ref!#REF!</f>
        <v>#REF!</v>
      </c>
      <c r="I176" s="66" t="s">
        <v>2722</v>
      </c>
    </row>
    <row r="177" spans="1:9" x14ac:dyDescent="0.35">
      <c r="A177" s="66" t="s">
        <v>747</v>
      </c>
      <c r="B177" s="66" t="s">
        <v>748</v>
      </c>
      <c r="C177" s="89" t="e">
        <f>+Cs!#REF!+Fin!#REF!+Rat!#REF!+MM!#REF!+Lib!#REF!+Pry!#REF!+Hal!#REF!+Cem!#REF!+Par!#REF!+EDv!C177+Str!#REF!+Ele!#REF!+Wat!#REF!+San!#REF!+Ref!#REF!</f>
        <v>#REF!</v>
      </c>
      <c r="D177" s="89" t="e">
        <f>+Cs!#REF!+Fin!#REF!+Rat!#REF!+MM!#REF!+Lib!#REF!+Pry!#REF!+Hal!#REF!+Cem!#REF!+Par!#REF!+EDv!D177+Str!#REF!+Ele!#REF!+Wat!#REF!+San!#REF!+Ref!#REF!</f>
        <v>#REF!</v>
      </c>
      <c r="E177" s="89" t="e">
        <f>+Cs!#REF!+Fin!#REF!+Rat!#REF!+MM!#REF!+Lib!#REF!+Pry!#REF!+Hal!#REF!+Cem!#REF!+Par!#REF!+EDv!E177+Str!#REF!+Ele!#REF!+Wat!#REF!+San!#REF!+Ref!#REF!</f>
        <v>#REF!</v>
      </c>
      <c r="F177" s="89" t="e">
        <f>+Cs!#REF!+Fin!#REF!+Rat!#REF!+MM!#REF!+Lib!#REF!+Pry!#REF!+Hal!#REF!+Cem!#REF!+Par!#REF!+EDv!F177+Str!#REF!+Ele!#REF!+Wat!#REF!+San!#REF!+Ref!#REF!</f>
        <v>#REF!</v>
      </c>
      <c r="G177" s="89" t="e">
        <f>+Cs!#REF!+Fin!#REF!+Rat!#REF!+MM!#REF!+Lib!#REF!+Pry!#REF!+Hal!#REF!+Cem!#REF!+Par!#REF!+EDv!G177+Str!#REF!+Ele!#REF!+Wat!#REF!+San!#REF!+Ref!#REF!</f>
        <v>#REF!</v>
      </c>
      <c r="H177" s="89" t="e">
        <f>+Cs!#REF!+Fin!#REF!+Rat!#REF!+MM!#REF!+Lib!#REF!+Pry!#REF!+Hal!#REF!+Cem!#REF!+Par!#REF!+EDv!H177+Str!#REF!+Ele!#REF!+Wat!#REF!+San!#REF!+Ref!#REF!</f>
        <v>#REF!</v>
      </c>
      <c r="I177" s="66" t="s">
        <v>2722</v>
      </c>
    </row>
    <row r="178" spans="1:9" x14ac:dyDescent="0.35">
      <c r="A178" s="66" t="s">
        <v>208</v>
      </c>
      <c r="B178" s="66" t="s">
        <v>209</v>
      </c>
      <c r="C178" s="89" t="e">
        <f>+Cs!#REF!+Fin!#REF!+Rat!#REF!+MM!#REF!+Lib!#REF!+Pry!#REF!+Hal!#REF!+Cem!#REF!+Par!#REF!+EDv!C178+Str!#REF!+Ele!#REF!+Wat!#REF!+San!#REF!+Ref!#REF!</f>
        <v>#REF!</v>
      </c>
      <c r="D178" s="89" t="e">
        <f>+Cs!#REF!+Fin!#REF!+Rat!#REF!+MM!#REF!+Lib!#REF!+Pry!#REF!+Hal!#REF!+Cem!#REF!+Par!#REF!+EDv!D178+Str!#REF!+Ele!#REF!+Wat!#REF!+San!#REF!+Ref!#REF!</f>
        <v>#REF!</v>
      </c>
      <c r="E178" s="89" t="e">
        <f>+Cs!#REF!+Fin!#REF!+Rat!#REF!+MM!#REF!+Lib!#REF!+Pry!#REF!+Hal!#REF!+Cem!#REF!+Par!#REF!+EDv!E178+Str!#REF!+Ele!#REF!+Wat!#REF!+San!#REF!+Ref!#REF!</f>
        <v>#REF!</v>
      </c>
      <c r="F178" s="89" t="e">
        <f>+Cs!#REF!+Fin!#REF!+Rat!#REF!+MM!#REF!+Lib!#REF!+Pry!#REF!+Hal!#REF!+Cem!#REF!+Par!#REF!+EDv!F178+Str!#REF!+Ele!#REF!+Wat!#REF!+San!#REF!+Ref!#REF!</f>
        <v>#REF!</v>
      </c>
      <c r="G178" s="89" t="e">
        <f>+Cs!#REF!+Fin!#REF!+Rat!#REF!+MM!#REF!+Lib!#REF!+Pry!#REF!+Hal!#REF!+Cem!#REF!+Par!#REF!+EDv!G178+Str!#REF!+Ele!#REF!+Wat!#REF!+San!#REF!+Ref!#REF!</f>
        <v>#REF!</v>
      </c>
      <c r="H178" s="89" t="e">
        <f>+Cs!#REF!+Fin!#REF!+Rat!#REF!+MM!#REF!+Lib!#REF!+Pry!#REF!+Hal!#REF!+Cem!#REF!+Par!#REF!+EDv!H178+Str!#REF!+Ele!#REF!+Wat!#REF!+San!#REF!+Ref!#REF!</f>
        <v>#REF!</v>
      </c>
      <c r="I178" s="66" t="s">
        <v>2727</v>
      </c>
    </row>
    <row r="179" spans="1:9" x14ac:dyDescent="0.35">
      <c r="A179" s="66" t="s">
        <v>847</v>
      </c>
      <c r="B179" s="66" t="s">
        <v>848</v>
      </c>
      <c r="C179" s="89" t="e">
        <f>+Cs!#REF!+Fin!#REF!+Rat!#REF!+MM!#REF!+Lib!#REF!+Pry!#REF!+Hal!#REF!+Cem!#REF!+Par!#REF!+EDv!C179+Str!#REF!+Ele!#REF!+Wat!#REF!+San!#REF!+Ref!#REF!</f>
        <v>#REF!</v>
      </c>
      <c r="D179" s="89" t="e">
        <f>+Cs!#REF!+Fin!#REF!+Rat!#REF!+MM!#REF!+Lib!#REF!+Pry!#REF!+Hal!#REF!+Cem!#REF!+Par!#REF!+EDv!D179+Str!#REF!+Ele!#REF!+Wat!#REF!+San!#REF!+Ref!#REF!</f>
        <v>#REF!</v>
      </c>
      <c r="E179" s="89" t="e">
        <f>+Cs!#REF!+Fin!#REF!+Rat!#REF!+MM!#REF!+Lib!#REF!+Pry!#REF!+Hal!#REF!+Cem!#REF!+Par!#REF!+EDv!E179+Str!#REF!+Ele!#REF!+Wat!#REF!+San!#REF!+Ref!#REF!</f>
        <v>#REF!</v>
      </c>
      <c r="F179" s="89" t="e">
        <f>+Cs!#REF!+Fin!#REF!+Rat!#REF!+MM!#REF!+Lib!#REF!+Pry!#REF!+Hal!#REF!+Cem!#REF!+Par!#REF!+EDv!F179+Str!#REF!+Ele!#REF!+Wat!#REF!+San!#REF!+Ref!#REF!</f>
        <v>#REF!</v>
      </c>
      <c r="G179" s="89" t="e">
        <f>+Cs!#REF!+Fin!#REF!+Rat!#REF!+MM!#REF!+Lib!#REF!+Pry!#REF!+Hal!#REF!+Cem!#REF!+Par!#REF!+EDv!G179+Str!#REF!+Ele!#REF!+Wat!#REF!+San!#REF!+Ref!#REF!</f>
        <v>#REF!</v>
      </c>
      <c r="H179" s="89" t="e">
        <f>+Cs!#REF!+Fin!#REF!+Rat!#REF!+MM!#REF!+Lib!#REF!+Pry!#REF!+Hal!#REF!+Cem!#REF!+Par!#REF!+EDv!H179+Str!#REF!+Ele!#REF!+Wat!#REF!+San!#REF!+Ref!#REF!</f>
        <v>#REF!</v>
      </c>
      <c r="I179" s="66" t="s">
        <v>2722</v>
      </c>
    </row>
    <row r="180" spans="1:9" x14ac:dyDescent="0.35">
      <c r="A180" s="66" t="s">
        <v>738</v>
      </c>
      <c r="B180" s="66" t="s">
        <v>739</v>
      </c>
      <c r="C180" s="89">
        <f>+Cs!B212+Fin!B212+Rat!B212+MM!B212+Lib!B212+Pry!B212+Hal!B212+Cem!B212+Par!B212+EDv!C180+Str!B212+Ele!B212+Wat!B212+San!B212+Ref!B212</f>
        <v>222000</v>
      </c>
      <c r="D180" s="89">
        <f>+Cs!C212+Fin!C212+Rat!C212+MM!C212+Lib!C212+Pry!C212+Hal!C212+Cem!C212+Par!C212+EDv!D180+Str!C212+Ele!C212+Wat!C212+San!C212+Ref!C212</f>
        <v>222000</v>
      </c>
      <c r="E180" s="89">
        <f>+Cs!D212+Fin!D212+Rat!D212+MM!D212+Lib!D212+Pry!D212+Hal!D212+Cem!D212+Par!D212+EDv!E180+Str!D212+Ele!D212+Wat!D212+San!D212+Ref!D212</f>
        <v>59011</v>
      </c>
      <c r="F180" s="89">
        <f>+Cs!E212+Fin!E212+Rat!E212+MM!E212+Lib!E212+Pry!E212+Hal!E212+Cem!E212+Par!E212+EDv!F180+Str!E212+Ele!E212+Wat!E212+San!E212+Ref!E212</f>
        <v>61000</v>
      </c>
      <c r="G180" s="89">
        <f>+Cs!F212+Fin!F212+Rat!F212+MM!F212+Lib!F212+Pry!F212+Hal!F212+Cem!F212+Par!F212+EDv!G180+Str!F212+Ele!F212+Wat!F212+San!F212+Ref!F212</f>
        <v>63900</v>
      </c>
      <c r="H180" s="89">
        <f>+Cs!G212+Fin!G212+Rat!G212+MM!G212+Lib!G212+Pry!G212+Hal!G212+Cem!G212+Par!G212+EDv!H180+Str!G212+Ele!G212+Wat!G212+San!G212+Ref!G212</f>
        <v>66900</v>
      </c>
      <c r="I180" s="66" t="s">
        <v>2729</v>
      </c>
    </row>
    <row r="181" spans="1:9" x14ac:dyDescent="0.35">
      <c r="A181" s="66" t="s">
        <v>629</v>
      </c>
      <c r="B181" s="66" t="s">
        <v>630</v>
      </c>
      <c r="C181" s="89" t="e">
        <f>+Cs!#REF!+Fin!#REF!+Rat!#REF!+MM!#REF!+Lib!#REF!+Pry!#REF!+Hal!#REF!+Cem!#REF!+Par!#REF!+EDv!C181+Str!#REF!+Ele!#REF!+Wat!#REF!+San!#REF!+Ref!#REF!</f>
        <v>#REF!</v>
      </c>
      <c r="D181" s="89" t="e">
        <f>+Cs!#REF!+Fin!#REF!+Rat!#REF!+MM!#REF!+Lib!#REF!+Pry!#REF!+Hal!#REF!+Cem!#REF!+Par!#REF!+EDv!D181+Str!#REF!+Ele!#REF!+Wat!#REF!+San!#REF!+Ref!#REF!</f>
        <v>#REF!</v>
      </c>
      <c r="E181" s="89" t="e">
        <f>+Cs!#REF!+Fin!#REF!+Rat!#REF!+MM!#REF!+Lib!#REF!+Pry!#REF!+Hal!#REF!+Cem!#REF!+Par!#REF!+EDv!E181+Str!#REF!+Ele!#REF!+Wat!#REF!+San!#REF!+Ref!#REF!</f>
        <v>#REF!</v>
      </c>
      <c r="F181" s="89" t="e">
        <f>+Cs!#REF!+Fin!#REF!+Rat!#REF!+MM!#REF!+Lib!#REF!+Pry!#REF!+Hal!#REF!+Cem!#REF!+Par!#REF!+EDv!F181+Str!#REF!+Ele!#REF!+Wat!#REF!+San!#REF!+Ref!#REF!</f>
        <v>#REF!</v>
      </c>
      <c r="G181" s="89" t="e">
        <f>+Cs!#REF!+Fin!#REF!+Rat!#REF!+MM!#REF!+Lib!#REF!+Pry!#REF!+Hal!#REF!+Cem!#REF!+Par!#REF!+EDv!G181+Str!#REF!+Ele!#REF!+Wat!#REF!+San!#REF!+Ref!#REF!</f>
        <v>#REF!</v>
      </c>
      <c r="H181" s="89" t="e">
        <f>+Cs!#REF!+Fin!#REF!+Rat!#REF!+MM!#REF!+Lib!#REF!+Pry!#REF!+Hal!#REF!+Cem!#REF!+Par!#REF!+EDv!H181+Str!#REF!+Ele!#REF!+Wat!#REF!+San!#REF!+Ref!#REF!</f>
        <v>#REF!</v>
      </c>
      <c r="I181" s="66" t="s">
        <v>2722</v>
      </c>
    </row>
    <row r="182" spans="1:9" x14ac:dyDescent="0.35">
      <c r="A182" s="66" t="s">
        <v>616</v>
      </c>
      <c r="B182" s="66" t="s">
        <v>617</v>
      </c>
      <c r="C182" s="89" t="e">
        <f>+Cs!#REF!+Fin!#REF!+Rat!#REF!+MM!#REF!+Lib!#REF!+Pry!#REF!+Hal!#REF!+Cem!#REF!+Par!#REF!+EDv!C182+Str!#REF!+Ele!#REF!+Wat!#REF!+San!#REF!+Ref!#REF!</f>
        <v>#REF!</v>
      </c>
      <c r="D182" s="89" t="e">
        <f>+Cs!#REF!+Fin!#REF!+Rat!#REF!+MM!#REF!+Lib!#REF!+Pry!#REF!+Hal!#REF!+Cem!#REF!+Par!#REF!+EDv!D182+Str!#REF!+Ele!#REF!+Wat!#REF!+San!#REF!+Ref!#REF!</f>
        <v>#REF!</v>
      </c>
      <c r="E182" s="89" t="e">
        <f>+Cs!#REF!+Fin!#REF!+Rat!#REF!+MM!#REF!+Lib!#REF!+Pry!#REF!+Hal!#REF!+Cem!#REF!+Par!#REF!+EDv!E182+Str!#REF!+Ele!#REF!+Wat!#REF!+San!#REF!+Ref!#REF!</f>
        <v>#REF!</v>
      </c>
      <c r="F182" s="89" t="e">
        <f>+Cs!#REF!+Fin!#REF!+Rat!#REF!+MM!#REF!+Lib!#REF!+Pry!#REF!+Hal!#REF!+Cem!#REF!+Par!#REF!+EDv!F182+Str!#REF!+Ele!#REF!+Wat!#REF!+San!#REF!+Ref!#REF!</f>
        <v>#REF!</v>
      </c>
      <c r="G182" s="89" t="e">
        <f>+Cs!#REF!+Fin!#REF!+Rat!#REF!+MM!#REF!+Lib!#REF!+Pry!#REF!+Hal!#REF!+Cem!#REF!+Par!#REF!+EDv!G182+Str!#REF!+Ele!#REF!+Wat!#REF!+San!#REF!+Ref!#REF!</f>
        <v>#REF!</v>
      </c>
      <c r="H182" s="89" t="e">
        <f>+Cs!#REF!+Fin!#REF!+Rat!#REF!+MM!#REF!+Lib!#REF!+Pry!#REF!+Hal!#REF!+Cem!#REF!+Par!#REF!+EDv!H182+Str!#REF!+Ele!#REF!+Wat!#REF!+San!#REF!+Ref!#REF!</f>
        <v>#REF!</v>
      </c>
      <c r="I182" s="66" t="s">
        <v>2722</v>
      </c>
    </row>
    <row r="183" spans="1:9" x14ac:dyDescent="0.35">
      <c r="A183" s="66" t="s">
        <v>356</v>
      </c>
      <c r="B183" s="66" t="s">
        <v>357</v>
      </c>
      <c r="C183" s="89" t="e">
        <f>+Cs!#REF!+Fin!#REF!+Rat!#REF!+MM!#REF!+Lib!#REF!+Pry!#REF!+Hal!#REF!+Cem!#REF!+Par!#REF!+EDv!C183+Str!#REF!+Ele!#REF!+Wat!#REF!+San!#REF!+Ref!#REF!</f>
        <v>#REF!</v>
      </c>
      <c r="D183" s="89" t="e">
        <f>+Cs!#REF!+Fin!#REF!+Rat!#REF!+MM!#REF!+Lib!#REF!+Pry!#REF!+Hal!#REF!+Cem!#REF!+Par!#REF!+EDv!D183+Str!#REF!+Ele!#REF!+Wat!#REF!+San!#REF!+Ref!#REF!</f>
        <v>#REF!</v>
      </c>
      <c r="E183" s="89" t="e">
        <f>+Cs!#REF!+Fin!#REF!+Rat!#REF!+MM!#REF!+Lib!#REF!+Pry!#REF!+Hal!#REF!+Cem!#REF!+Par!#REF!+EDv!E183+Str!#REF!+Ele!#REF!+Wat!#REF!+San!#REF!+Ref!#REF!</f>
        <v>#REF!</v>
      </c>
      <c r="F183" s="89" t="e">
        <f>+Cs!#REF!+Fin!#REF!+Rat!#REF!+MM!#REF!+Lib!#REF!+Pry!#REF!+Hal!#REF!+Cem!#REF!+Par!#REF!+EDv!F183+Str!#REF!+Ele!#REF!+Wat!#REF!+San!#REF!+Ref!#REF!</f>
        <v>#REF!</v>
      </c>
      <c r="G183" s="89" t="e">
        <f>+Cs!#REF!+Fin!#REF!+Rat!#REF!+MM!#REF!+Lib!#REF!+Pry!#REF!+Hal!#REF!+Cem!#REF!+Par!#REF!+EDv!G183+Str!#REF!+Ele!#REF!+Wat!#REF!+San!#REF!+Ref!#REF!</f>
        <v>#REF!</v>
      </c>
      <c r="H183" s="89" t="e">
        <f>+Cs!#REF!+Fin!#REF!+Rat!#REF!+MM!#REF!+Lib!#REF!+Pry!#REF!+Hal!#REF!+Cem!#REF!+Par!#REF!+EDv!H183+Str!#REF!+Ele!#REF!+Wat!#REF!+San!#REF!+Ref!#REF!</f>
        <v>#REF!</v>
      </c>
      <c r="I183" s="66" t="s">
        <v>2722</v>
      </c>
    </row>
    <row r="184" spans="1:9" x14ac:dyDescent="0.35">
      <c r="A184" s="66" t="s">
        <v>785</v>
      </c>
      <c r="B184" s="66" t="s">
        <v>52</v>
      </c>
      <c r="C184" s="89">
        <f>+Cs!B213+Fin!B213+Rat!B213+MM!B213+Lib!B213+Pry!B213+Hal!B213+Cem!B213+Par!B213+EDv!C184+Str!B213+Ele!B213+Wat!B213+San!B213+Ref!B213</f>
        <v>154000</v>
      </c>
      <c r="D184" s="89">
        <f>+Cs!C213+Fin!C213+Rat!C213+MM!C213+Lib!C213+Pry!C213+Hal!C213+Cem!C213+Par!C213+EDv!D184+Str!C213+Ele!C213+Wat!C213+San!C213+Ref!C213</f>
        <v>154000</v>
      </c>
      <c r="E184" s="89">
        <f>+Cs!D213+Fin!D213+Rat!D213+MM!D213+Lib!D213+Pry!D213+Hal!D213+Cem!D213+Par!D213+EDv!E184+Str!D213+Ele!D213+Wat!D213+San!D213+Ref!D213</f>
        <v>42156</v>
      </c>
      <c r="F184" s="89">
        <f>+Cs!E213+Fin!E213+Rat!E213+MM!E213+Lib!E213+Pry!E213+Hal!E213+Cem!E213+Par!E213+EDv!F184+Str!E213+Ele!E213+Wat!E213+San!E213+Ref!E213</f>
        <v>44000</v>
      </c>
      <c r="G184" s="89">
        <f>+Cs!F213+Fin!F213+Rat!F213+MM!F213+Lib!F213+Pry!F213+Hal!F213+Cem!F213+Par!F213+EDv!G184+Str!F213+Ele!F213+Wat!F213+San!F213+Ref!F213</f>
        <v>46100</v>
      </c>
      <c r="H184" s="89">
        <f>+Cs!G213+Fin!G213+Rat!G213+MM!G213+Lib!G213+Pry!G213+Hal!G213+Cem!G213+Par!G213+EDv!H184+Str!G213+Ele!G213+Wat!G213+San!G213+Ref!G213</f>
        <v>48300</v>
      </c>
      <c r="I184" s="66" t="s">
        <v>2722</v>
      </c>
    </row>
    <row r="185" spans="1:9" x14ac:dyDescent="0.35">
      <c r="A185" s="66" t="s">
        <v>830</v>
      </c>
      <c r="B185" s="66" t="s">
        <v>831</v>
      </c>
      <c r="C185" s="89" t="e">
        <f>+Cs!#REF!+Fin!#REF!+Rat!#REF!+MM!#REF!+Lib!#REF!+Pry!#REF!+Hal!#REF!+Cem!#REF!+Par!#REF!+EDv!C185+Str!#REF!+Ele!#REF!+Wat!#REF!+San!#REF!+Ref!#REF!</f>
        <v>#REF!</v>
      </c>
      <c r="D185" s="89" t="e">
        <f>+Cs!#REF!+Fin!#REF!+Rat!#REF!+MM!#REF!+Lib!#REF!+Pry!#REF!+Hal!#REF!+Cem!#REF!+Par!#REF!+EDv!D185+Str!#REF!+Ele!#REF!+Wat!#REF!+San!#REF!+Ref!#REF!</f>
        <v>#REF!</v>
      </c>
      <c r="E185" s="89" t="e">
        <f>+Cs!#REF!+Fin!#REF!+Rat!#REF!+MM!#REF!+Lib!#REF!+Pry!#REF!+Hal!#REF!+Cem!#REF!+Par!#REF!+EDv!E185+Str!#REF!+Ele!#REF!+Wat!#REF!+San!#REF!+Ref!#REF!</f>
        <v>#REF!</v>
      </c>
      <c r="F185" s="89" t="e">
        <f>+Cs!#REF!+Fin!#REF!+Rat!#REF!+MM!#REF!+Lib!#REF!+Pry!#REF!+Hal!#REF!+Cem!#REF!+Par!#REF!+EDv!F185+Str!#REF!+Ele!#REF!+Wat!#REF!+San!#REF!+Ref!#REF!</f>
        <v>#REF!</v>
      </c>
      <c r="G185" s="89" t="e">
        <f>+Cs!#REF!+Fin!#REF!+Rat!#REF!+MM!#REF!+Lib!#REF!+Pry!#REF!+Hal!#REF!+Cem!#REF!+Par!#REF!+EDv!G185+Str!#REF!+Ele!#REF!+Wat!#REF!+San!#REF!+Ref!#REF!</f>
        <v>#REF!</v>
      </c>
      <c r="H185" s="89" t="e">
        <f>+Cs!#REF!+Fin!#REF!+Rat!#REF!+MM!#REF!+Lib!#REF!+Pry!#REF!+Hal!#REF!+Cem!#REF!+Par!#REF!+EDv!H185+Str!#REF!+Ele!#REF!+Wat!#REF!+San!#REF!+Ref!#REF!</f>
        <v>#REF!</v>
      </c>
      <c r="I185" s="66" t="s">
        <v>2722</v>
      </c>
    </row>
    <row r="186" spans="1:9" x14ac:dyDescent="0.35">
      <c r="A186" s="66" t="s">
        <v>347</v>
      </c>
      <c r="B186" s="66" t="s">
        <v>223</v>
      </c>
      <c r="C186" s="89" t="e">
        <f>+Cs!#REF!+Fin!#REF!+Rat!#REF!+MM!#REF!+Lib!#REF!+Pry!#REF!+Hal!#REF!+Cem!#REF!+Par!#REF!+EDv!C186+Str!#REF!+Ele!#REF!+Wat!#REF!+San!#REF!+Ref!#REF!</f>
        <v>#REF!</v>
      </c>
      <c r="D186" s="89" t="e">
        <f>+Cs!#REF!+Fin!#REF!+Rat!#REF!+MM!#REF!+Lib!#REF!+Pry!#REF!+Hal!#REF!+Cem!#REF!+Par!#REF!+EDv!D186+Str!#REF!+Ele!#REF!+Wat!#REF!+San!#REF!+Ref!#REF!</f>
        <v>#REF!</v>
      </c>
      <c r="E186" s="89" t="e">
        <f>+Cs!#REF!+Fin!#REF!+Rat!#REF!+MM!#REF!+Lib!#REF!+Pry!#REF!+Hal!#REF!+Cem!#REF!+Par!#REF!+EDv!E186+Str!#REF!+Ele!#REF!+Wat!#REF!+San!#REF!+Ref!#REF!</f>
        <v>#REF!</v>
      </c>
      <c r="F186" s="89" t="e">
        <f>+Cs!#REF!+Fin!#REF!+Rat!#REF!+MM!#REF!+Lib!#REF!+Pry!#REF!+Hal!#REF!+Cem!#REF!+Par!#REF!+EDv!F186+Str!#REF!+Ele!#REF!+Wat!#REF!+San!#REF!+Ref!#REF!</f>
        <v>#REF!</v>
      </c>
      <c r="G186" s="89" t="e">
        <f>+Cs!#REF!+Fin!#REF!+Rat!#REF!+MM!#REF!+Lib!#REF!+Pry!#REF!+Hal!#REF!+Cem!#REF!+Par!#REF!+EDv!G186+Str!#REF!+Ele!#REF!+Wat!#REF!+San!#REF!+Ref!#REF!</f>
        <v>#REF!</v>
      </c>
      <c r="H186" s="89" t="e">
        <f>+Cs!#REF!+Fin!#REF!+Rat!#REF!+MM!#REF!+Lib!#REF!+Pry!#REF!+Hal!#REF!+Cem!#REF!+Par!#REF!+EDv!H186+Str!#REF!+Ele!#REF!+Wat!#REF!+San!#REF!+Ref!#REF!</f>
        <v>#REF!</v>
      </c>
      <c r="I186" s="66" t="s">
        <v>2722</v>
      </c>
    </row>
    <row r="187" spans="1:9" x14ac:dyDescent="0.35">
      <c r="A187" s="66" t="s">
        <v>255</v>
      </c>
      <c r="B187" s="66" t="s">
        <v>256</v>
      </c>
      <c r="C187" s="89" t="e">
        <f>+Cs!#REF!+Fin!#REF!+Rat!#REF!+MM!#REF!+Lib!#REF!+Pry!#REF!+Hal!#REF!+Cem!#REF!+Par!#REF!+EDv!C187+Str!#REF!+Ele!#REF!+Wat!#REF!+San!#REF!+Ref!#REF!</f>
        <v>#REF!</v>
      </c>
      <c r="D187" s="89" t="e">
        <f>+Cs!#REF!+Fin!#REF!+Rat!#REF!+MM!#REF!+Lib!#REF!+Pry!#REF!+Hal!#REF!+Cem!#REF!+Par!#REF!+EDv!D187+Str!#REF!+Ele!#REF!+Wat!#REF!+San!#REF!+Ref!#REF!</f>
        <v>#REF!</v>
      </c>
      <c r="E187" s="89" t="e">
        <f>+Cs!#REF!+Fin!#REF!+Rat!#REF!+MM!#REF!+Lib!#REF!+Pry!#REF!+Hal!#REF!+Cem!#REF!+Par!#REF!+EDv!E187+Str!#REF!+Ele!#REF!+Wat!#REF!+San!#REF!+Ref!#REF!</f>
        <v>#REF!</v>
      </c>
      <c r="F187" s="89" t="e">
        <f>+Cs!#REF!+Fin!#REF!+Rat!#REF!+MM!#REF!+Lib!#REF!+Pry!#REF!+Hal!#REF!+Cem!#REF!+Par!#REF!+EDv!F187+Str!#REF!+Ele!#REF!+Wat!#REF!+San!#REF!+Ref!#REF!</f>
        <v>#REF!</v>
      </c>
      <c r="G187" s="89" t="e">
        <f>+Cs!#REF!+Fin!#REF!+Rat!#REF!+MM!#REF!+Lib!#REF!+Pry!#REF!+Hal!#REF!+Cem!#REF!+Par!#REF!+EDv!G187+Str!#REF!+Ele!#REF!+Wat!#REF!+San!#REF!+Ref!#REF!</f>
        <v>#REF!</v>
      </c>
      <c r="H187" s="89" t="e">
        <f>+Cs!#REF!+Fin!#REF!+Rat!#REF!+MM!#REF!+Lib!#REF!+Pry!#REF!+Hal!#REF!+Cem!#REF!+Par!#REF!+EDv!H187+Str!#REF!+Ele!#REF!+Wat!#REF!+San!#REF!+Ref!#REF!</f>
        <v>#REF!</v>
      </c>
      <c r="I187" s="66" t="s">
        <v>2722</v>
      </c>
    </row>
    <row r="188" spans="1:9" x14ac:dyDescent="0.35">
      <c r="A188" s="66" t="s">
        <v>206</v>
      </c>
      <c r="B188" s="66" t="s">
        <v>207</v>
      </c>
      <c r="C188" s="89" t="e">
        <f>+Cs!#REF!+Fin!#REF!+Rat!#REF!+MM!#REF!+Lib!#REF!+Pry!#REF!+Hal!#REF!+Cem!#REF!+Par!#REF!+EDv!C188+Str!#REF!+Ele!#REF!+Wat!#REF!+San!#REF!+Ref!#REF!</f>
        <v>#REF!</v>
      </c>
      <c r="D188" s="89" t="e">
        <f>+Cs!#REF!+Fin!#REF!+Rat!#REF!+MM!#REF!+Lib!#REF!+Pry!#REF!+Hal!#REF!+Cem!#REF!+Par!#REF!+EDv!D188+Str!#REF!+Ele!#REF!+Wat!#REF!+San!#REF!+Ref!#REF!</f>
        <v>#REF!</v>
      </c>
      <c r="E188" s="89" t="e">
        <f>+Cs!#REF!+Fin!#REF!+Rat!#REF!+MM!#REF!+Lib!#REF!+Pry!#REF!+Hal!#REF!+Cem!#REF!+Par!#REF!+EDv!E188+Str!#REF!+Ele!#REF!+Wat!#REF!+San!#REF!+Ref!#REF!</f>
        <v>#REF!</v>
      </c>
      <c r="F188" s="89" t="e">
        <f>+Cs!#REF!+Fin!#REF!+Rat!#REF!+MM!#REF!+Lib!#REF!+Pry!#REF!+Hal!#REF!+Cem!#REF!+Par!#REF!+EDv!F188+Str!#REF!+Ele!#REF!+Wat!#REF!+San!#REF!+Ref!#REF!</f>
        <v>#REF!</v>
      </c>
      <c r="G188" s="89" t="e">
        <f>+Cs!#REF!+Fin!#REF!+Rat!#REF!+MM!#REF!+Lib!#REF!+Pry!#REF!+Hal!#REF!+Cem!#REF!+Par!#REF!+EDv!G188+Str!#REF!+Ele!#REF!+Wat!#REF!+San!#REF!+Ref!#REF!</f>
        <v>#REF!</v>
      </c>
      <c r="H188" s="89" t="e">
        <f>+Cs!#REF!+Fin!#REF!+Rat!#REF!+MM!#REF!+Lib!#REF!+Pry!#REF!+Hal!#REF!+Cem!#REF!+Par!#REF!+EDv!H188+Str!#REF!+Ele!#REF!+Wat!#REF!+San!#REF!+Ref!#REF!</f>
        <v>#REF!</v>
      </c>
      <c r="I188" s="66" t="s">
        <v>2722</v>
      </c>
    </row>
    <row r="189" spans="1:9" x14ac:dyDescent="0.35">
      <c r="A189" s="66" t="s">
        <v>365</v>
      </c>
      <c r="B189" s="66" t="s">
        <v>120</v>
      </c>
      <c r="C189" s="89">
        <f>+Cs!B214+Fin!B214+Rat!B214+MM!B214+Lib!B214+Pry!B214+Hal!B214+Cem!B214+Par!B214+EDv!C189+Str!B214+Ele!B214+Wat!B214+San!B214+Ref!B214</f>
        <v>505900</v>
      </c>
      <c r="D189" s="89">
        <f>+Cs!C214+Fin!C214+Rat!C214+MM!C214+Lib!C214+Pry!C214+Hal!C214+Cem!C214+Par!C214+EDv!D189+Str!C214+Ele!C214+Wat!C214+San!C214+Ref!C214</f>
        <v>505900</v>
      </c>
      <c r="E189" s="89">
        <f>+Cs!D214+Fin!D214+Rat!D214+MM!D214+Lib!D214+Pry!D214+Hal!D214+Cem!D214+Par!D214+EDv!E189+Str!D214+Ele!D214+Wat!D214+San!D214+Ref!D214</f>
        <v>548020.88</v>
      </c>
      <c r="F189" s="89">
        <f>+Cs!E214+Fin!E214+Rat!E214+MM!E214+Lib!E214+Pry!E214+Hal!E214+Cem!E214+Par!E214+EDv!F189+Str!E214+Ele!E214+Wat!E214+San!E214+Ref!E214</f>
        <v>569900</v>
      </c>
      <c r="G189" s="89">
        <f>+Cs!F214+Fin!F214+Rat!F214+MM!F214+Lib!F214+Pry!F214+Hal!F214+Cem!F214+Par!F214+EDv!G189+Str!F214+Ele!F214+Wat!F214+San!F214+Ref!F214</f>
        <v>597600</v>
      </c>
      <c r="H189" s="89">
        <f>+Cs!G214+Fin!G214+Rat!G214+MM!G214+Lib!G214+Pry!G214+Hal!G214+Cem!G214+Par!G214+EDv!H189+Str!G214+Ele!G214+Wat!G214+San!G214+Ref!G214</f>
        <v>626800</v>
      </c>
      <c r="I189" s="66" t="s">
        <v>2731</v>
      </c>
    </row>
    <row r="190" spans="1:9" x14ac:dyDescent="0.35">
      <c r="A190" s="66" t="s">
        <v>749</v>
      </c>
      <c r="B190" s="66" t="s">
        <v>2744</v>
      </c>
      <c r="C190" s="89" t="e">
        <f>+Cs!#REF!+Fin!#REF!+Rat!#REF!+MM!#REF!+Lib!#REF!+Pry!#REF!+Hal!#REF!+Cem!#REF!+Par!#REF!+EDv!C190+Str!#REF!+Ele!#REF!+Wat!#REF!+San!#REF!+Ref!#REF!</f>
        <v>#REF!</v>
      </c>
      <c r="D190" s="89" t="e">
        <f>+Cs!#REF!+Fin!#REF!+Rat!#REF!+MM!#REF!+Lib!#REF!+Pry!#REF!+Hal!#REF!+Cem!#REF!+Par!#REF!+EDv!D190+Str!#REF!+Ele!#REF!+Wat!#REF!+San!#REF!+Ref!#REF!</f>
        <v>#REF!</v>
      </c>
      <c r="E190" s="89" t="e">
        <f>+Cs!#REF!+Fin!#REF!+Rat!#REF!+MM!#REF!+Lib!#REF!+Pry!#REF!+Hal!#REF!+Cem!#REF!+Par!#REF!+EDv!E190+Str!#REF!+Ele!#REF!+Wat!#REF!+San!#REF!+Ref!#REF!</f>
        <v>#REF!</v>
      </c>
      <c r="F190" s="89" t="e">
        <f>+Cs!#REF!+Fin!#REF!+Rat!#REF!+MM!#REF!+Lib!#REF!+Pry!#REF!+Hal!#REF!+Cem!#REF!+Par!#REF!+EDv!F190+Str!#REF!+Ele!#REF!+Wat!#REF!+San!#REF!+Ref!#REF!</f>
        <v>#REF!</v>
      </c>
      <c r="G190" s="89" t="e">
        <f>+Cs!#REF!+Fin!#REF!+Rat!#REF!+MM!#REF!+Lib!#REF!+Pry!#REF!+Hal!#REF!+Cem!#REF!+Par!#REF!+EDv!G190+Str!#REF!+Ele!#REF!+Wat!#REF!+San!#REF!+Ref!#REF!</f>
        <v>#REF!</v>
      </c>
      <c r="H190" s="89" t="e">
        <f>+Cs!#REF!+Fin!#REF!+Rat!#REF!+MM!#REF!+Lib!#REF!+Pry!#REF!+Hal!#REF!+Cem!#REF!+Par!#REF!+EDv!H190+Str!#REF!+Ele!#REF!+Wat!#REF!+San!#REF!+Ref!#REF!</f>
        <v>#REF!</v>
      </c>
      <c r="I190" s="66" t="s">
        <v>2722</v>
      </c>
    </row>
    <row r="191" spans="1:9" x14ac:dyDescent="0.35">
      <c r="A191" s="66"/>
      <c r="B191" s="66" t="s">
        <v>2745</v>
      </c>
      <c r="C191" s="89">
        <f>+Cs!B215+Fin!B215+Rat!B215+MM!B215+Lib!B215+Pry!B215+Hal!B215+Cem!B215+Par!B215+EDv!C191+Str!B215+Ele!B215+Wat!B215+San!B215+Ref!B215</f>
        <v>2000000</v>
      </c>
      <c r="D191" s="89">
        <f>+Cs!C215+Fin!C215+Rat!C215+MM!C215+Lib!C215+Pry!C215+Hal!C215+Cem!C215+Par!C215+EDv!D191+Str!C215+Ele!C215+Wat!C215+San!C215+Ref!C215</f>
        <v>2000000</v>
      </c>
      <c r="E191" s="89">
        <f>+Cs!D215+Fin!D215+Rat!D215+MM!D215+Lib!D215+Pry!D215+Hal!D215+Cem!D215+Par!D215+EDv!E191+Str!D215+Ele!D215+Wat!D215+San!D215+Ref!D215</f>
        <v>2000000</v>
      </c>
      <c r="F191" s="89">
        <f>+Cs!E215+Fin!E215+Rat!E215+MM!E215+Lib!E215+Pry!E215+Hal!E215+Cem!E215+Par!E215+EDv!F191+Str!E215+Ele!E215+Wat!E215+San!E215+Ref!E215</f>
        <v>0</v>
      </c>
      <c r="G191" s="89">
        <f>+Cs!F215+Fin!F215+Rat!F215+MM!F215+Lib!F215+Pry!F215+Hal!F215+Cem!F215+Par!F215+EDv!G191+Str!F215+Ele!F215+Wat!F215+San!F215+Ref!F215</f>
        <v>2000000</v>
      </c>
      <c r="H191" s="89">
        <f>+Cs!G215+Fin!G215+Rat!G215+MM!G215+Lib!G215+Pry!G215+Hal!G215+Cem!G215+Par!G215+EDv!H191+Str!G215+Ele!G215+Wat!G215+San!G215+Ref!G215</f>
        <v>2000000</v>
      </c>
      <c r="I191" s="66" t="s">
        <v>2722</v>
      </c>
    </row>
    <row r="192" spans="1:9" x14ac:dyDescent="0.35">
      <c r="A192" s="66" t="s">
        <v>410</v>
      </c>
      <c r="B192" s="66" t="s">
        <v>411</v>
      </c>
      <c r="C192" s="89">
        <f>+Cs!B216+Fin!B216+Rat!B216+MM!B216+Lib!B216+Pry!B216+Hal!B216+Cem!B216+Par!B216+EDv!C192+Str!B216+Ele!B216+Wat!B216+San!B216+Ref!B216</f>
        <v>276900</v>
      </c>
      <c r="D192" s="89">
        <f>+Cs!C216+Fin!C216+Rat!C216+MM!C216+Lib!C216+Pry!C216+Hal!C216+Cem!C216+Par!C216+EDv!D192+Str!C216+Ele!C216+Wat!C216+San!C216+Ref!C216</f>
        <v>276900</v>
      </c>
      <c r="E192" s="89">
        <f>+Cs!D216+Fin!D216+Rat!D216+MM!D216+Lib!D216+Pry!D216+Hal!D216+Cem!D216+Par!D216+EDv!E192+Str!D216+Ele!D216+Wat!D216+San!D216+Ref!D216</f>
        <v>300900</v>
      </c>
      <c r="F192" s="89">
        <f>+Cs!E216+Fin!E216+Rat!E216+MM!E216+Lib!E216+Pry!E216+Hal!E216+Cem!E216+Par!E216+EDv!F192+Str!E216+Ele!E216+Wat!E216+San!E216+Ref!E216</f>
        <v>324000</v>
      </c>
      <c r="G192" s="89">
        <f>+Cs!F216+Fin!F216+Rat!F216+MM!F216+Lib!F216+Pry!F216+Hal!F216+Cem!F216+Par!F216+EDv!G192+Str!F216+Ele!F216+Wat!F216+San!F216+Ref!F216</f>
        <v>340600</v>
      </c>
      <c r="H192" s="89">
        <f>+Cs!G216+Fin!G216+Rat!G216+MM!G216+Lib!G216+Pry!G216+Hal!G216+Cem!G216+Par!G216+EDv!H192+Str!G216+Ele!G216+Wat!G216+San!G216+Ref!G216</f>
        <v>356300</v>
      </c>
      <c r="I192" s="66" t="s">
        <v>2722</v>
      </c>
    </row>
    <row r="193" spans="1:9" x14ac:dyDescent="0.35">
      <c r="A193" s="66" t="s">
        <v>364</v>
      </c>
      <c r="B193" s="66" t="s">
        <v>2770</v>
      </c>
      <c r="C193" s="89" t="e">
        <f>+Cs!#REF!+Fin!#REF!+Rat!#REF!+MM!#REF!+Lib!#REF!+Pry!#REF!+Hal!#REF!+Cem!#REF!+Par!#REF!+EDv!C193+Str!#REF!+Ele!#REF!+Wat!#REF!+San!#REF!+Ref!#REF!</f>
        <v>#REF!</v>
      </c>
      <c r="D193" s="89" t="e">
        <f>+Cs!#REF!+Fin!#REF!+Rat!#REF!+MM!#REF!+Lib!#REF!+Pry!#REF!+Hal!#REF!+Cem!#REF!+Par!#REF!+EDv!D193+Str!#REF!+Ele!#REF!+Wat!#REF!+San!#REF!+Ref!#REF!</f>
        <v>#REF!</v>
      </c>
      <c r="E193" s="89" t="e">
        <f>+Cs!#REF!+Fin!#REF!+Rat!#REF!+MM!#REF!+Lib!#REF!+Pry!#REF!+Hal!#REF!+Cem!#REF!+Par!#REF!+EDv!E193+Str!#REF!+Ele!#REF!+Wat!#REF!+San!#REF!+Ref!#REF!</f>
        <v>#REF!</v>
      </c>
      <c r="F193" s="89" t="e">
        <f>+Cs!#REF!+Fin!#REF!+Rat!#REF!+MM!#REF!+Lib!#REF!+Pry!#REF!+Hal!#REF!+Cem!#REF!+Par!#REF!+EDv!F193+Str!#REF!+Ele!#REF!+Wat!#REF!+San!#REF!+Ref!#REF!</f>
        <v>#REF!</v>
      </c>
      <c r="G193" s="89" t="e">
        <f>+Cs!#REF!+Fin!#REF!+Rat!#REF!+MM!#REF!+Lib!#REF!+Pry!#REF!+Hal!#REF!+Cem!#REF!+Par!#REF!+EDv!G193+Str!#REF!+Ele!#REF!+Wat!#REF!+San!#REF!+Ref!#REF!</f>
        <v>#REF!</v>
      </c>
      <c r="H193" s="89" t="e">
        <f>+Cs!#REF!+Fin!#REF!+Rat!#REF!+MM!#REF!+Lib!#REF!+Pry!#REF!+Hal!#REF!+Cem!#REF!+Par!#REF!+EDv!H193+Str!#REF!+Ele!#REF!+Wat!#REF!+San!#REF!+Ref!#REF!</f>
        <v>#REF!</v>
      </c>
      <c r="I193" s="66" t="s">
        <v>2793</v>
      </c>
    </row>
    <row r="194" spans="1:9" x14ac:dyDescent="0.35">
      <c r="A194" s="66"/>
      <c r="B194" s="66" t="s">
        <v>2641</v>
      </c>
      <c r="C194" s="89">
        <f>+Cs!B217+Fin!B217+Rat!B217+MM!B217+Lib!B217+Pry!B217+Hal!B217+Cem!B217+Par!B217+EDv!C194+Str!B217+Ele!B217+Wat!B217+San!B217+Ref!B217</f>
        <v>0</v>
      </c>
      <c r="D194" s="89">
        <f>+Cs!C217+Fin!C217+Rat!C217+MM!C217+Lib!C217+Pry!C217+Hal!C217+Cem!C217+Par!C217+EDv!D194+Str!C217+Ele!C217+Wat!C217+San!C217+Ref!C217</f>
        <v>0</v>
      </c>
      <c r="E194" s="89">
        <f>+Cs!D217+Fin!D217+Rat!D217+MM!D217+Lib!D217+Pry!D217+Hal!D217+Cem!D217+Par!D217+EDv!E194+Str!D217+Ele!D217+Wat!D217+San!D217+Ref!D217</f>
        <v>0</v>
      </c>
      <c r="F194" s="89">
        <f>+Cs!E217+Fin!E217+Rat!E217+MM!E217+Lib!E217+Pry!E217+Hal!E217+Cem!E217+Par!E217+EDv!F194+Str!E217+Ele!E217+Wat!E217+San!E217+Ref!E217</f>
        <v>0</v>
      </c>
      <c r="G194" s="89">
        <f>+Cs!F217+Fin!F217+Rat!F217+MM!F217+Lib!F217+Pry!F217+Hal!F217+Cem!F217+Par!F217+EDv!G194+Str!F217+Ele!F217+Wat!F217+San!F217+Ref!F217</f>
        <v>0</v>
      </c>
      <c r="H194" s="89">
        <f>+Cs!G217+Fin!G217+Rat!G217+MM!G217+Lib!G217+Pry!G217+Hal!G217+Cem!G217+Par!G217+EDv!H194+Str!G217+Ele!G217+Wat!G217+San!G217+Ref!G217</f>
        <v>0</v>
      </c>
      <c r="I194" s="66" t="s">
        <v>2793</v>
      </c>
    </row>
    <row r="195" spans="1:9" x14ac:dyDescent="0.35">
      <c r="A195" s="66" t="s">
        <v>668</v>
      </c>
      <c r="B195" s="66" t="s">
        <v>2642</v>
      </c>
      <c r="C195" s="89">
        <f>+Cs!B218+Fin!B218+Rat!B218+MM!B218+Lib!B218+Pry!B218+Hal!B218+Cem!B218+Par!B218+EDv!C195+Str!B218+Ele!B218+Wat!B218+San!B218+Ref!B218</f>
        <v>180000</v>
      </c>
      <c r="D195" s="89">
        <f>+Cs!C218+Fin!C218+Rat!C218+MM!C218+Lib!C218+Pry!C218+Hal!C218+Cem!C218+Par!C218+EDv!D195+Str!C218+Ele!C218+Wat!C218+San!C218+Ref!C218</f>
        <v>180000</v>
      </c>
      <c r="E195" s="89">
        <f>+Cs!D218+Fin!D218+Rat!D218+MM!D218+Lib!D218+Pry!D218+Hal!D218+Cem!D218+Par!D218+EDv!E195+Str!D218+Ele!D218+Wat!D218+San!D218+Ref!D218</f>
        <v>228519.51</v>
      </c>
      <c r="F195" s="89">
        <f>+Cs!E218+Fin!E218+Rat!E218+MM!E218+Lib!E218+Pry!E218+Hal!E218+Cem!E218+Par!E218+EDv!F195+Str!E218+Ele!E218+Wat!E218+San!E218+Ref!E218</f>
        <v>220000</v>
      </c>
      <c r="G195" s="89">
        <f>+Cs!F218+Fin!F218+Rat!F218+MM!F218+Lib!F218+Pry!F218+Hal!F218+Cem!F218+Par!F218+EDv!G195+Str!F218+Ele!F218+Wat!F218+San!F218+Ref!F218</f>
        <v>230100</v>
      </c>
      <c r="H195" s="89">
        <f>+Cs!G218+Fin!G218+Rat!G218+MM!G218+Lib!G218+Pry!G218+Hal!G218+Cem!G218+Par!G218+EDv!H195+Str!G218+Ele!G218+Wat!G218+San!G218+Ref!G218</f>
        <v>240700</v>
      </c>
      <c r="I195" s="66" t="s">
        <v>2793</v>
      </c>
    </row>
    <row r="196" spans="1:9" x14ac:dyDescent="0.35">
      <c r="A196" s="66" t="s">
        <v>801</v>
      </c>
      <c r="B196" s="66" t="s">
        <v>2652</v>
      </c>
      <c r="C196" s="89" t="e">
        <f>+Cs!B219+Fin!B219+Rat!B219+MM!B219+Lib!B219+Pry!#REF!+Hal!B219+Cem!B219+Par!B219+EDv!C196+Str!B219+Ele!B219+Wat!B219+San!B219+Ref!B219</f>
        <v>#REF!</v>
      </c>
      <c r="D196" s="89" t="e">
        <f>+Cs!C219+Fin!C219+Rat!C219+MM!C219+Lib!C219+Pry!#REF!+Hal!C219+Cem!C219+Par!C219+EDv!D196+Str!C219+Ele!C219+Wat!C219+San!C219+Ref!C219</f>
        <v>#REF!</v>
      </c>
      <c r="E196" s="89" t="e">
        <f>+Cs!D219+Fin!D219+Rat!D219+MM!D219+Lib!D219+Pry!#REF!+Hal!D219+Cem!D219+Par!D219+EDv!E196+Str!D219+Ele!D219+Wat!D219+San!D219+Ref!D219</f>
        <v>#REF!</v>
      </c>
      <c r="F196" s="89" t="e">
        <f>+Cs!E219+Fin!E219+Rat!E219+MM!E219+Lib!E219+Pry!#REF!+Hal!E219+Cem!E219+Par!E219+EDv!F196+Str!E219+Ele!E219+Wat!E219+San!E219+Ref!E219</f>
        <v>#REF!</v>
      </c>
      <c r="G196" s="89" t="e">
        <f>+Cs!F219+Fin!F219+Rat!F219+MM!F219+Lib!F219+Pry!#REF!+Hal!F219+Cem!F219+Par!F219+EDv!G196+Str!F219+Ele!F219+Wat!F219+San!F219+Ref!F219</f>
        <v>#REF!</v>
      </c>
      <c r="H196" s="89" t="e">
        <f>+Cs!G219+Fin!G219+Rat!G219+MM!G219+Lib!G219+Pry!#REF!+Hal!G219+Cem!G219+Par!G219+EDv!H196+Str!G219+Ele!G219+Wat!G219+San!G219+Ref!G219</f>
        <v>#REF!</v>
      </c>
      <c r="I196" s="66" t="s">
        <v>2793</v>
      </c>
    </row>
    <row r="197" spans="1:9" x14ac:dyDescent="0.35">
      <c r="A197" s="66" t="s">
        <v>855</v>
      </c>
      <c r="B197" s="66" t="s">
        <v>417</v>
      </c>
      <c r="C197" s="89">
        <f>+Cs!B220+Fin!B220+Rat!B220+MM!B220+Lib!B220+Pry!B219+Hal!B220+Cem!B220+Par!B220+EDv!C197+Str!B220+Ele!B220+Wat!B220+San!B220+Ref!B220</f>
        <v>86500</v>
      </c>
      <c r="D197" s="89">
        <f>+Cs!C220+Fin!C220+Rat!C220+MM!C220+Lib!C220+Pry!C219+Hal!C220+Cem!C220+Par!C220+EDv!D197+Str!C220+Ele!C220+Wat!C220+San!C220+Ref!C220</f>
        <v>86500</v>
      </c>
      <c r="E197" s="89">
        <f>+Cs!D220+Fin!D220+Rat!D220+MM!D220+Lib!D220+Pry!D219+Hal!D220+Cem!D220+Par!D220+EDv!E197+Str!D220+Ele!D220+Wat!D220+San!D220+Ref!D220</f>
        <v>82459.66</v>
      </c>
      <c r="F197" s="89">
        <f>+Cs!E220+Fin!E220+Rat!E220+MM!E220+Lib!E220+Pry!E219+Hal!E220+Cem!E220+Par!E220+EDv!F197+Str!E220+Ele!E220+Wat!E220+San!E220+Ref!E220</f>
        <v>98500</v>
      </c>
      <c r="G197" s="89">
        <f>+Cs!F220+Fin!F220+Rat!F220+MM!F220+Lib!F220+Pry!F219+Hal!F220+Cem!F220+Par!F220+EDv!G197+Str!F220+Ele!F220+Wat!F220+San!F220+Ref!F220</f>
        <v>98500</v>
      </c>
      <c r="H197" s="89">
        <f>+Cs!G220+Fin!G220+Rat!G220+MM!G220+Lib!G220+Pry!G219+Hal!G220+Cem!G220+Par!G220+EDv!H197+Str!G220+Ele!G220+Wat!G220+San!G220+Ref!G220</f>
        <v>108000</v>
      </c>
      <c r="I197" s="66" t="s">
        <v>2793</v>
      </c>
    </row>
    <row r="198" spans="1:9" x14ac:dyDescent="0.35">
      <c r="A198" s="66" t="s">
        <v>672</v>
      </c>
      <c r="B198" s="66" t="s">
        <v>2654</v>
      </c>
      <c r="C198" s="89">
        <f>+Cs!B221+Fin!B221+Rat!B221+MM!B221+Lib!B221+Pry!B220+Hal!B221+Cem!B221+Par!B221+EDv!C198+Str!B221+Ele!B221+Wat!B221+San!B221+Ref!B221</f>
        <v>4000</v>
      </c>
      <c r="D198" s="89">
        <f>+Cs!C221+Fin!C221+Rat!C221+MM!C221+Lib!C221+Pry!C220+Hal!C221+Cem!C221+Par!C221+EDv!D198+Str!C221+Ele!C221+Wat!C221+San!C221+Ref!C221</f>
        <v>4000</v>
      </c>
      <c r="E198" s="89">
        <f>+Cs!D221+Fin!D221+Rat!D221+MM!D221+Lib!D221+Pry!D220+Hal!D221+Cem!D221+Par!D221+EDv!E198+Str!D221+Ele!D221+Wat!D221+San!D221+Ref!D221</f>
        <v>0</v>
      </c>
      <c r="F198" s="89">
        <f>+Cs!E221+Fin!E221+Rat!E221+MM!E221+Lib!E221+Pry!E220+Hal!E221+Cem!E221+Par!E221+EDv!F198+Str!E221+Ele!E221+Wat!E221+San!E221+Ref!E221</f>
        <v>4000</v>
      </c>
      <c r="G198" s="89">
        <f>+Cs!F221+Fin!F221+Rat!F221+MM!F221+Lib!F221+Pry!F220+Hal!F221+Cem!F221+Par!F221+EDv!G198+Str!F221+Ele!F221+Wat!F221+San!F221+Ref!F221</f>
        <v>4000</v>
      </c>
      <c r="H198" s="89">
        <f>+Cs!G221+Fin!G221+Rat!G221+MM!G221+Lib!G221+Pry!G220+Hal!G221+Cem!G221+Par!G221+EDv!H198+Str!G221+Ele!G221+Wat!G221+San!G221+Ref!G221</f>
        <v>4000</v>
      </c>
      <c r="I198" s="66" t="s">
        <v>2793</v>
      </c>
    </row>
    <row r="199" spans="1:9" x14ac:dyDescent="0.35">
      <c r="A199" s="66" t="s">
        <v>415</v>
      </c>
      <c r="B199" s="66" t="s">
        <v>114</v>
      </c>
      <c r="C199" s="89">
        <f>+Cs!B225+Fin!B225+Rat!B225+MM!B225+Lib!B225+Pry!B224+Hal!B225+Cem!B225+Par!B225+EDv!C199+Str!B225+Ele!B225+Wat!B225+San!B225+Ref!B225</f>
        <v>70600</v>
      </c>
      <c r="D199" s="89">
        <f>+Cs!C225+Fin!C225+Rat!C225+MM!C225+Lib!C225+Pry!C224+Hal!C225+Cem!C225+Par!C225+EDv!D199+Str!C225+Ele!C225+Wat!C225+San!C225+Ref!C225</f>
        <v>70600</v>
      </c>
      <c r="E199" s="89">
        <f>+Cs!D225+Fin!D225+Rat!D225+MM!D225+Lib!D225+Pry!D224+Hal!D225+Cem!D225+Par!D225+EDv!E199+Str!D225+Ele!D225+Wat!D225+San!D225+Ref!D225</f>
        <v>27491.77</v>
      </c>
      <c r="F199" s="89">
        <f>+Cs!E225+Fin!E225+Rat!E225+MM!E225+Lib!E225+Pry!E224+Hal!E225+Cem!E225+Par!E225+EDv!F199+Str!E225+Ele!E225+Wat!E225+San!E225+Ref!E225</f>
        <v>27100</v>
      </c>
      <c r="G199" s="89">
        <f>+Cs!F225+Fin!F225+Rat!F225+MM!F225+Lib!F225+Pry!F224+Hal!F225+Cem!F225+Par!F225+EDv!G199+Str!F225+Ele!F225+Wat!F225+San!F225+Ref!F225</f>
        <v>25600</v>
      </c>
      <c r="H199" s="89">
        <f>+Cs!G225+Fin!G225+Rat!G225+MM!G225+Lib!G225+Pry!G224+Hal!G225+Cem!G225+Par!G225+EDv!H199+Str!G225+Ele!G225+Wat!G225+San!G225+Ref!G225</f>
        <v>29500</v>
      </c>
      <c r="I199" s="66" t="s">
        <v>2793</v>
      </c>
    </row>
    <row r="200" spans="1:9" x14ac:dyDescent="0.35">
      <c r="A200" s="66"/>
      <c r="B200" s="66" t="s">
        <v>2633</v>
      </c>
      <c r="C200" s="89">
        <f>+Cs!B226+Fin!B226+Rat!B226+MM!B226+Lib!B226+Pry!B225+Hal!B226+Cem!B226+Par!B226+EDv!C200+Str!B226+Ele!B226+Wat!B226+San!B226+Ref!B226</f>
        <v>305000</v>
      </c>
      <c r="D200" s="89">
        <f>+Cs!C226+Fin!C226+Rat!C226+MM!C226+Lib!C226+Pry!C225+Hal!C226+Cem!C226+Par!C226+EDv!D200+Str!C226+Ele!C226+Wat!C226+San!C226+Ref!C226</f>
        <v>205000</v>
      </c>
      <c r="E200" s="89">
        <f>+Cs!D226+Fin!D226+Rat!D226+MM!D226+Lib!D226+Pry!D225+Hal!D226+Cem!D226+Par!D226+EDv!E200+Str!D226+Ele!D226+Wat!D226+San!D226+Ref!D226</f>
        <v>312409.48</v>
      </c>
      <c r="F200" s="89">
        <f>+Cs!E226+Fin!E226+Rat!E226+MM!E226+Lib!E226+Pry!E225+Hal!E226+Cem!E226+Par!E226+EDv!F200+Str!E226+Ele!E226+Wat!E226+San!E226+Ref!E226</f>
        <v>305000</v>
      </c>
      <c r="G200" s="89">
        <f>+Cs!F226+Fin!F226+Rat!F226+MM!F226+Lib!F226+Pry!F225+Hal!F226+Cem!F226+Par!F226+EDv!G200+Str!F226+Ele!F226+Wat!F226+San!F226+Ref!F226</f>
        <v>321400</v>
      </c>
      <c r="H200" s="89">
        <f>+Cs!G226+Fin!G226+Rat!G226+MM!G226+Lib!G226+Pry!G225+Hal!G226+Cem!G226+Par!G226+EDv!H200+Str!G226+Ele!G226+Wat!G226+San!G226+Ref!G226</f>
        <v>338800</v>
      </c>
      <c r="I200" s="66" t="s">
        <v>2793</v>
      </c>
    </row>
    <row r="201" spans="1:9" x14ac:dyDescent="0.35">
      <c r="A201" s="66"/>
      <c r="B201" s="66" t="s">
        <v>2647</v>
      </c>
      <c r="C201" s="89">
        <f>+Cs!B227+Fin!B227+Rat!B227+MM!B227+Lib!B227+Pry!B226+Hal!B227+Cem!B227+Par!B227+EDv!C201+Str!B227+Ele!B227+Wat!B227+San!B227+Ref!B227</f>
        <v>114500</v>
      </c>
      <c r="D201" s="89">
        <f>+Cs!C227+Fin!C227+Rat!C227+MM!C227+Lib!C227+Pry!C226+Hal!C227+Cem!C227+Par!C227+EDv!D201+Str!C227+Ele!C227+Wat!C227+San!C227+Ref!C227</f>
        <v>114500</v>
      </c>
      <c r="E201" s="89">
        <f>+Cs!D227+Fin!D227+Rat!D227+MM!D227+Lib!D227+Pry!D226+Hal!D227+Cem!D227+Par!D227+EDv!E201+Str!D227+Ele!D227+Wat!D227+San!D227+Ref!D227</f>
        <v>98396.530000000013</v>
      </c>
      <c r="F201" s="89">
        <f>+Cs!E227+Fin!E227+Rat!E227+MM!E227+Lib!E227+Pry!E226+Hal!E227+Cem!E227+Par!E227+EDv!F201+Str!E227+Ele!E227+Wat!E227+San!E227+Ref!E227</f>
        <v>124500</v>
      </c>
      <c r="G201" s="89">
        <f>+Cs!F227+Fin!F227+Rat!F227+MM!F227+Lib!F227+Pry!F226+Hal!F227+Cem!F227+Par!F227+EDv!G201+Str!F227+Ele!F227+Wat!F227+San!F227+Ref!F227</f>
        <v>128300</v>
      </c>
      <c r="H201" s="89">
        <f>+Cs!G227+Fin!G227+Rat!G227+MM!G227+Lib!G227+Pry!G226+Hal!G227+Cem!G227+Par!G227+EDv!H201+Str!G227+Ele!G227+Wat!G227+San!G227+Ref!G227</f>
        <v>193800</v>
      </c>
      <c r="I201" s="66" t="s">
        <v>2793</v>
      </c>
    </row>
    <row r="202" spans="1:9" x14ac:dyDescent="0.35">
      <c r="A202" s="66" t="s">
        <v>856</v>
      </c>
      <c r="B202" s="66" t="s">
        <v>2653</v>
      </c>
      <c r="C202" s="89">
        <f>+Cs!B228+Fin!B228+Rat!B228+MM!B228+Lib!B228+Pry!B227+Hal!B228+Cem!B228+Par!B228+EDv!C202+Str!B228+Ele!B228+Wat!B228+San!B228+Ref!B228</f>
        <v>12800</v>
      </c>
      <c r="D202" s="89">
        <f>+Cs!C228+Fin!C228+Rat!C228+MM!C228+Lib!C228+Pry!C227+Hal!C228+Cem!C228+Par!C228+EDv!D202+Str!C228+Ele!C228+Wat!C228+San!C228+Ref!C228</f>
        <v>12800</v>
      </c>
      <c r="E202" s="89">
        <f>+Cs!D228+Fin!D228+Rat!D228+MM!D228+Lib!D228+Pry!D227+Hal!D228+Cem!D228+Par!D228+EDv!E202+Str!D228+Ele!D228+Wat!D228+San!D228+Ref!D228</f>
        <v>51294.3</v>
      </c>
      <c r="F202" s="89">
        <f>+Cs!E228+Fin!E228+Rat!E228+MM!E228+Lib!E228+Pry!E227+Hal!E228+Cem!E228+Par!E228+EDv!F202+Str!E228+Ele!E228+Wat!E228+San!E228+Ref!E228</f>
        <v>19000</v>
      </c>
      <c r="G202" s="89">
        <f>+Cs!F228+Fin!F228+Rat!F228+MM!F228+Lib!F228+Pry!F227+Hal!F228+Cem!F228+Par!F228+EDv!G202+Str!F228+Ele!F228+Wat!F228+San!F228+Ref!F228</f>
        <v>19900</v>
      </c>
      <c r="H202" s="89">
        <f>+Cs!G228+Fin!G228+Rat!G228+MM!G228+Lib!G228+Pry!G227+Hal!G228+Cem!G228+Par!G228+EDv!H202+Str!G228+Ele!G228+Wat!G228+San!G228+Ref!G228</f>
        <v>20800</v>
      </c>
      <c r="I202" s="66" t="s">
        <v>2793</v>
      </c>
    </row>
    <row r="203" spans="1:9" x14ac:dyDescent="0.35">
      <c r="A203" s="66" t="s">
        <v>614</v>
      </c>
      <c r="B203" s="66" t="s">
        <v>615</v>
      </c>
      <c r="C203" s="89" t="e">
        <f>+Cs!#REF!+Fin!#REF!+Rat!#REF!+MM!#REF!+Lib!#REF!+Pry!#REF!+Hal!#REF!+Cem!#REF!+Par!#REF!+EDv!C203+Str!#REF!+Ele!#REF!+Wat!#REF!+San!#REF!+Ref!#REF!</f>
        <v>#REF!</v>
      </c>
      <c r="D203" s="89" t="e">
        <f>+Cs!#REF!+Fin!#REF!+Rat!#REF!+MM!#REF!+Lib!#REF!+Pry!#REF!+Hal!#REF!+Cem!#REF!+Par!#REF!+EDv!D203+Str!#REF!+Ele!#REF!+Wat!#REF!+San!#REF!+Ref!#REF!</f>
        <v>#REF!</v>
      </c>
      <c r="E203" s="89" t="e">
        <f>+Cs!#REF!+Fin!#REF!+Rat!#REF!+MM!#REF!+Lib!#REF!+Pry!#REF!+Hal!#REF!+Cem!#REF!+Par!#REF!+EDv!E203+Str!#REF!+Ele!#REF!+Wat!#REF!+San!#REF!+Ref!#REF!</f>
        <v>#REF!</v>
      </c>
      <c r="F203" s="89" t="e">
        <f>+Cs!#REF!+Fin!#REF!+Rat!#REF!+MM!#REF!+Lib!#REF!+Pry!#REF!+Hal!#REF!+Cem!#REF!+Par!#REF!+EDv!F203+Str!#REF!+Ele!#REF!+Wat!#REF!+San!#REF!+Ref!#REF!</f>
        <v>#REF!</v>
      </c>
      <c r="G203" s="89" t="e">
        <f>+Cs!#REF!+Fin!#REF!+Rat!#REF!+MM!#REF!+Lib!#REF!+Pry!#REF!+Hal!#REF!+Cem!#REF!+Par!#REF!+EDv!G203+Str!#REF!+Ele!#REF!+Wat!#REF!+San!#REF!+Ref!#REF!</f>
        <v>#REF!</v>
      </c>
      <c r="H203" s="89" t="e">
        <f>+Cs!#REF!+Fin!#REF!+Rat!#REF!+MM!#REF!+Lib!#REF!+Pry!#REF!+Hal!#REF!+Cem!#REF!+Par!#REF!+EDv!H203+Str!#REF!+Ele!#REF!+Wat!#REF!+San!#REF!+Ref!#REF!</f>
        <v>#REF!</v>
      </c>
      <c r="I203" s="66" t="s">
        <v>2722</v>
      </c>
    </row>
    <row r="204" spans="1:9" x14ac:dyDescent="0.35">
      <c r="A204" s="66" t="s">
        <v>612</v>
      </c>
      <c r="B204" s="66" t="s">
        <v>613</v>
      </c>
      <c r="C204" s="89" t="e">
        <f>+Cs!#REF!+Fin!#REF!+Rat!#REF!+MM!#REF!+Lib!#REF!+Pry!#REF!+Hal!#REF!+Cem!#REF!+Par!#REF!+EDv!C204+Str!#REF!+Ele!#REF!+Wat!#REF!+San!#REF!+Ref!#REF!</f>
        <v>#REF!</v>
      </c>
      <c r="D204" s="89" t="e">
        <f>+Cs!#REF!+Fin!#REF!+Rat!#REF!+MM!#REF!+Lib!#REF!+Pry!#REF!+Hal!#REF!+Cem!#REF!+Par!#REF!+EDv!D204+Str!#REF!+Ele!#REF!+Wat!#REF!+San!#REF!+Ref!#REF!</f>
        <v>#REF!</v>
      </c>
      <c r="E204" s="89" t="e">
        <f>+Cs!#REF!+Fin!#REF!+Rat!#REF!+MM!#REF!+Lib!#REF!+Pry!#REF!+Hal!#REF!+Cem!#REF!+Par!#REF!+EDv!E204+Str!#REF!+Ele!#REF!+Wat!#REF!+San!#REF!+Ref!#REF!</f>
        <v>#REF!</v>
      </c>
      <c r="F204" s="89" t="e">
        <f>+Cs!#REF!+Fin!#REF!+Rat!#REF!+MM!#REF!+Lib!#REF!+Pry!#REF!+Hal!#REF!+Cem!#REF!+Par!#REF!+EDv!F204+Str!#REF!+Ele!#REF!+Wat!#REF!+San!#REF!+Ref!#REF!</f>
        <v>#REF!</v>
      </c>
      <c r="G204" s="89" t="e">
        <f>+Cs!#REF!+Fin!#REF!+Rat!#REF!+MM!#REF!+Lib!#REF!+Pry!#REF!+Hal!#REF!+Cem!#REF!+Par!#REF!+EDv!G204+Str!#REF!+Ele!#REF!+Wat!#REF!+San!#REF!+Ref!#REF!</f>
        <v>#REF!</v>
      </c>
      <c r="H204" s="89" t="e">
        <f>+Cs!#REF!+Fin!#REF!+Rat!#REF!+MM!#REF!+Lib!#REF!+Pry!#REF!+Hal!#REF!+Cem!#REF!+Par!#REF!+EDv!H204+Str!#REF!+Ele!#REF!+Wat!#REF!+San!#REF!+Ref!#REF!</f>
        <v>#REF!</v>
      </c>
      <c r="I204" s="66" t="s">
        <v>2722</v>
      </c>
    </row>
    <row r="205" spans="1:9" x14ac:dyDescent="0.35">
      <c r="A205" s="66" t="s">
        <v>111</v>
      </c>
      <c r="B205" s="66" t="s">
        <v>112</v>
      </c>
      <c r="C205" s="89" t="e">
        <f>+Cs!#REF!+Fin!#REF!+Rat!#REF!+MM!#REF!+Lib!#REF!+Pry!#REF!+Hal!#REF!+Cem!#REF!+Par!#REF!+EDv!C205+Str!#REF!+Ele!#REF!+Wat!#REF!+San!#REF!+Ref!#REF!</f>
        <v>#REF!</v>
      </c>
      <c r="D205" s="89" t="e">
        <f>+Cs!#REF!+Fin!#REF!+Rat!#REF!+MM!#REF!+Lib!#REF!+Pry!#REF!+Hal!#REF!+Cem!#REF!+Par!#REF!+EDv!D205+Str!#REF!+Ele!#REF!+Wat!#REF!+San!#REF!+Ref!#REF!</f>
        <v>#REF!</v>
      </c>
      <c r="E205" s="89" t="e">
        <f>+Cs!#REF!+Fin!#REF!+Rat!#REF!+MM!#REF!+Lib!#REF!+Pry!#REF!+Hal!#REF!+Cem!#REF!+Par!#REF!+EDv!E205+Str!#REF!+Ele!#REF!+Wat!#REF!+San!#REF!+Ref!#REF!</f>
        <v>#REF!</v>
      </c>
      <c r="F205" s="89" t="e">
        <f>+Cs!#REF!+Fin!#REF!+Rat!#REF!+MM!#REF!+Lib!#REF!+Pry!#REF!+Hal!#REF!+Cem!#REF!+Par!#REF!+EDv!F205+Str!#REF!+Ele!#REF!+Wat!#REF!+San!#REF!+Ref!#REF!</f>
        <v>#REF!</v>
      </c>
      <c r="G205" s="89" t="e">
        <f>+Cs!#REF!+Fin!#REF!+Rat!#REF!+MM!#REF!+Lib!#REF!+Pry!#REF!+Hal!#REF!+Cem!#REF!+Par!#REF!+EDv!G205+Str!#REF!+Ele!#REF!+Wat!#REF!+San!#REF!+Ref!#REF!</f>
        <v>#REF!</v>
      </c>
      <c r="H205" s="89" t="e">
        <f>+Cs!#REF!+Fin!#REF!+Rat!#REF!+MM!#REF!+Lib!#REF!+Pry!#REF!+Hal!#REF!+Cem!#REF!+Par!#REF!+EDv!H205+Str!#REF!+Ele!#REF!+Wat!#REF!+San!#REF!+Ref!#REF!</f>
        <v>#REF!</v>
      </c>
      <c r="I205" s="66" t="s">
        <v>2722</v>
      </c>
    </row>
    <row r="206" spans="1:9" x14ac:dyDescent="0.35">
      <c r="A206" s="66" t="s">
        <v>105</v>
      </c>
      <c r="B206" s="66" t="s">
        <v>106</v>
      </c>
      <c r="C206" s="89">
        <f>+Cs!B241+Fin!B241+Rat!B241+MM!B241+Lib!B241+Pry!B240+Hal!B241+Cem!B241+Par!B241+EDv!C206+Str!B241+Ele!B241+Wat!B241+San!B241+Ref!B241</f>
        <v>3500</v>
      </c>
      <c r="D206" s="89">
        <f>+Cs!C241+Fin!C241+Rat!C241+MM!C241+Lib!C241+Pry!C240+Hal!C241+Cem!C241+Par!C241+EDv!D206+Str!C241+Ele!C241+Wat!C241+San!C241+Ref!C241</f>
        <v>0</v>
      </c>
      <c r="E206" s="89">
        <f>+Cs!D241+Fin!D241+Rat!D241+MM!D241+Lib!D241+Pry!D240+Hal!D241+Cem!D241+Par!D241+EDv!E206+Str!D241+Ele!D241+Wat!D241+San!D241+Ref!D241</f>
        <v>0</v>
      </c>
      <c r="F206" s="89">
        <f>+Cs!E241+Fin!E241+Rat!E241+MM!E241+Lib!E241+Pry!E240+Hal!E241+Cem!E241+Par!E241+EDv!F206+Str!E241+Ele!E241+Wat!E241+San!E241+Ref!E241</f>
        <v>0</v>
      </c>
      <c r="G206" s="89">
        <f>+Cs!F241+Fin!F241+Rat!F241+MM!F241+Lib!F241+Pry!F240+Hal!F241+Cem!F241+Par!F241+EDv!G206+Str!F241+Ele!F241+Wat!F241+San!F241+Ref!F241</f>
        <v>0</v>
      </c>
      <c r="H206" s="89">
        <f>+Cs!G241+Fin!G241+Rat!G241+MM!G241+Lib!G241+Pry!G240+Hal!G241+Cem!G241+Par!G241+EDv!H206+Str!G241+Ele!G241+Wat!G241+San!G241+Ref!G241</f>
        <v>0</v>
      </c>
      <c r="I206" s="66" t="s">
        <v>2722</v>
      </c>
    </row>
    <row r="207" spans="1:9" x14ac:dyDescent="0.35">
      <c r="A207" s="66" t="s">
        <v>400</v>
      </c>
      <c r="B207" s="66" t="s">
        <v>48</v>
      </c>
      <c r="C207" s="89">
        <f>+Cs!B242+Fin!B242+Rat!B242+MM!B242+Lib!B242+Pry!B241+Hal!B242+Cem!B242+Par!B242+EDv!C207+Str!B242+Ele!B242+Wat!B242+San!B242+Ref!B242</f>
        <v>3500</v>
      </c>
      <c r="D207" s="89">
        <f>+Cs!C242+Fin!C242+Rat!C242+MM!C242+Lib!C242+Pry!C241+Hal!C242+Cem!C242+Par!C242+EDv!D207+Str!C242+Ele!C242+Wat!C242+San!C242+Ref!C242</f>
        <v>0</v>
      </c>
      <c r="E207" s="89">
        <f>+Cs!D242+Fin!D242+Rat!D242+MM!D242+Lib!D242+Pry!D241+Hal!D242+Cem!D242+Par!D242+EDv!E207+Str!D242+Ele!D242+Wat!D242+San!D242+Ref!D242</f>
        <v>0</v>
      </c>
      <c r="F207" s="89">
        <f>+Cs!E242+Fin!E242+Rat!E242+MM!E242+Lib!E242+Pry!E241+Hal!E242+Cem!E242+Par!E242+EDv!F207+Str!E242+Ele!E242+Wat!E242+San!E242+Ref!E242</f>
        <v>0</v>
      </c>
      <c r="G207" s="89">
        <f>+Cs!F242+Fin!F242+Rat!F242+MM!F242+Lib!F242+Pry!F241+Hal!F242+Cem!F242+Par!F242+EDv!G207+Str!F242+Ele!F242+Wat!F242+San!F242+Ref!F242</f>
        <v>0</v>
      </c>
      <c r="H207" s="89">
        <f>+Cs!G242+Fin!G242+Rat!G242+MM!G242+Lib!G242+Pry!G241+Hal!G242+Cem!G242+Par!G242+EDv!H207+Str!G242+Ele!G242+Wat!G242+San!G242+Ref!G242</f>
        <v>0</v>
      </c>
      <c r="I207" s="66" t="s">
        <v>2721</v>
      </c>
    </row>
    <row r="208" spans="1:9" x14ac:dyDescent="0.35">
      <c r="A208" s="66" t="s">
        <v>241</v>
      </c>
      <c r="B208" s="66" t="s">
        <v>2743</v>
      </c>
      <c r="C208" s="89" t="e">
        <f>+Cs!#REF!+Fin!#REF!+Rat!#REF!+MM!#REF!+Lib!#REF!+Pry!#REF!+Hal!#REF!+Cem!#REF!+Par!#REF!+EDv!C210+Str!#REF!+Ele!#REF!+Wat!#REF!+San!#REF!+Ref!#REF!</f>
        <v>#REF!</v>
      </c>
      <c r="D208" s="89" t="e">
        <f>+Cs!#REF!+Fin!#REF!+Rat!#REF!+MM!#REF!+Lib!#REF!+Pry!#REF!+Hal!#REF!+Cem!#REF!+Par!#REF!+EDv!D210+Str!#REF!+Ele!#REF!+Wat!#REF!+San!#REF!+Ref!#REF!</f>
        <v>#REF!</v>
      </c>
      <c r="E208" s="89" t="e">
        <f>+Cs!#REF!+Fin!#REF!+Rat!#REF!+MM!#REF!+Lib!#REF!+Pry!#REF!+Hal!#REF!+Cem!#REF!+Par!#REF!+EDv!E210+Str!#REF!+Ele!#REF!+Wat!#REF!+San!#REF!+Ref!#REF!</f>
        <v>#REF!</v>
      </c>
      <c r="F208" s="89" t="e">
        <f>+Cs!#REF!+Fin!#REF!+Rat!#REF!+MM!#REF!+Lib!#REF!+Pry!#REF!+Hal!#REF!+Cem!#REF!+Par!#REF!+EDv!F210+Str!#REF!+Ele!#REF!+Wat!#REF!+San!#REF!+Ref!#REF!</f>
        <v>#REF!</v>
      </c>
      <c r="G208" s="89" t="e">
        <f>+Cs!#REF!+Fin!#REF!+Rat!#REF!+MM!#REF!+Lib!#REF!+Pry!#REF!+Hal!#REF!+Cem!#REF!+Par!#REF!+EDv!G210+Str!#REF!+Ele!#REF!+Wat!#REF!+San!#REF!+Ref!#REF!</f>
        <v>#REF!</v>
      </c>
      <c r="H208" s="89" t="e">
        <f>+Cs!#REF!+Fin!#REF!+Rat!#REF!+MM!#REF!+Lib!#REF!+Pry!#REF!+Hal!#REF!+Cem!#REF!+Par!#REF!+EDv!H210+Str!#REF!+Ele!#REF!+Wat!#REF!+San!#REF!+Ref!#REF!</f>
        <v>#REF!</v>
      </c>
      <c r="I208" s="66" t="s">
        <v>2722</v>
      </c>
    </row>
    <row r="209" spans="1:9" x14ac:dyDescent="0.35">
      <c r="A209" s="66" t="s">
        <v>226</v>
      </c>
      <c r="B209" s="66" t="s">
        <v>242</v>
      </c>
      <c r="C209" s="89">
        <f>+Cs!B243+Fin!B243+Rat!B243+MM!B243+Lib!B243+Pry!B242+Hal!B243+Cem!B243+Par!B243+EDv!C208+Str!B243+Ele!B243+Wat!B243+San!B243+Ref!B243</f>
        <v>3500</v>
      </c>
      <c r="D209" s="89">
        <f>+Cs!C243+Fin!C243+Rat!C243+MM!C243+Lib!C243+Pry!C242+Hal!C243+Cem!C243+Par!C243+EDv!D208+Str!C243+Ele!C243+Wat!C243+San!C243+Ref!C243</f>
        <v>0</v>
      </c>
      <c r="E209" s="89">
        <f>+Cs!D243+Fin!D243+Rat!D243+MM!D243+Lib!D243+Pry!D242+Hal!D243+Cem!D243+Par!D243+EDv!E208+Str!D243+Ele!D243+Wat!D243+San!D243+Ref!D243</f>
        <v>0</v>
      </c>
      <c r="F209" s="89">
        <f>+Cs!E243+Fin!E243+Rat!E243+MM!E243+Lib!E243+Pry!E242+Hal!E243+Cem!E243+Par!E243+EDv!F208+Str!E243+Ele!E243+Wat!E243+San!E243+Ref!E243</f>
        <v>0</v>
      </c>
      <c r="G209" s="89">
        <f>+Cs!F243+Fin!F243+Rat!F243+MM!F243+Lib!F243+Pry!F242+Hal!F243+Cem!F243+Par!F243+EDv!G208+Str!F243+Ele!F243+Wat!F243+San!F243+Ref!F243</f>
        <v>0</v>
      </c>
      <c r="H209" s="89">
        <f>+Cs!G243+Fin!G243+Rat!G243+MM!G243+Lib!G243+Pry!G242+Hal!G243+Cem!G243+Par!G243+EDv!H208+Str!G243+Ele!G243+Wat!G243+San!G243+Ref!G243</f>
        <v>0</v>
      </c>
      <c r="I209" s="66" t="s">
        <v>2722</v>
      </c>
    </row>
    <row r="210" spans="1:9" x14ac:dyDescent="0.35">
      <c r="A210" s="66" t="s">
        <v>639</v>
      </c>
      <c r="B210" s="66" t="s">
        <v>227</v>
      </c>
      <c r="C210" s="89" t="e">
        <f>+Cs!#REF!+Fin!#REF!+Rat!#REF!+MM!#REF!+Lib!#REF!+Pry!#REF!+Hal!#REF!+Cem!#REF!+Par!#REF!+EDv!C209+Str!#REF!+Ele!#REF!+Wat!#REF!+San!#REF!+Ref!#REF!</f>
        <v>#REF!</v>
      </c>
      <c r="D210" s="89" t="e">
        <f>+Cs!#REF!+Fin!#REF!+Rat!#REF!+MM!#REF!+Lib!#REF!+Pry!#REF!+Hal!#REF!+Cem!#REF!+Par!#REF!+EDv!D209+Str!#REF!+Ele!#REF!+Wat!#REF!+San!#REF!+Ref!#REF!</f>
        <v>#REF!</v>
      </c>
      <c r="E210" s="89" t="e">
        <f>+Cs!#REF!+Fin!#REF!+Rat!#REF!+MM!#REF!+Lib!#REF!+Pry!#REF!+Hal!#REF!+Cem!#REF!+Par!#REF!+EDv!E209+Str!#REF!+Ele!#REF!+Wat!#REF!+San!#REF!+Ref!#REF!</f>
        <v>#REF!</v>
      </c>
      <c r="F210" s="89" t="e">
        <f>+Cs!#REF!+Fin!#REF!+Rat!#REF!+MM!#REF!+Lib!#REF!+Pry!#REF!+Hal!#REF!+Cem!#REF!+Par!#REF!+EDv!F209+Str!#REF!+Ele!#REF!+Wat!#REF!+San!#REF!+Ref!#REF!</f>
        <v>#REF!</v>
      </c>
      <c r="G210" s="89" t="e">
        <f>+Cs!#REF!+Fin!#REF!+Rat!#REF!+MM!#REF!+Lib!#REF!+Pry!#REF!+Hal!#REF!+Cem!#REF!+Par!#REF!+EDv!G209+Str!#REF!+Ele!#REF!+Wat!#REF!+San!#REF!+Ref!#REF!</f>
        <v>#REF!</v>
      </c>
      <c r="H210" s="89" t="e">
        <f>+Cs!#REF!+Fin!#REF!+Rat!#REF!+MM!#REF!+Lib!#REF!+Pry!#REF!+Hal!#REF!+Cem!#REF!+Par!#REF!+EDv!H209+Str!#REF!+Ele!#REF!+Wat!#REF!+San!#REF!+Ref!#REF!</f>
        <v>#REF!</v>
      </c>
      <c r="I210" s="66" t="s">
        <v>2722</v>
      </c>
    </row>
    <row r="211" spans="1:9" x14ac:dyDescent="0.35">
      <c r="A211" s="66" t="s">
        <v>627</v>
      </c>
      <c r="B211" s="66" t="s">
        <v>628</v>
      </c>
      <c r="C211" s="89" t="e">
        <f>+Cs!#REF!+Fin!#REF!+Rat!#REF!+MM!#REF!+Lib!#REF!+Pry!#REF!+Hal!#REF!+Cem!#REF!+Par!#REF!+EDv!C211+Str!#REF!+Ele!#REF!+Wat!#REF!+San!#REF!+Ref!#REF!</f>
        <v>#REF!</v>
      </c>
      <c r="D211" s="89" t="e">
        <f>+Cs!#REF!+Fin!#REF!+Rat!#REF!+MM!#REF!+Lib!#REF!+Pry!#REF!+Hal!#REF!+Cem!#REF!+Par!#REF!+EDv!D211+Str!#REF!+Ele!#REF!+Wat!#REF!+San!#REF!+Ref!#REF!</f>
        <v>#REF!</v>
      </c>
      <c r="E211" s="89" t="e">
        <f>+Cs!#REF!+Fin!#REF!+Rat!#REF!+MM!#REF!+Lib!#REF!+Pry!#REF!+Hal!#REF!+Cem!#REF!+Par!#REF!+EDv!E211+Str!#REF!+Ele!#REF!+Wat!#REF!+San!#REF!+Ref!#REF!</f>
        <v>#REF!</v>
      </c>
      <c r="F211" s="89" t="e">
        <f>+Cs!#REF!+Fin!#REF!+Rat!#REF!+MM!#REF!+Lib!#REF!+Pry!#REF!+Hal!#REF!+Cem!#REF!+Par!#REF!+EDv!F211+Str!#REF!+Ele!#REF!+Wat!#REF!+San!#REF!+Ref!#REF!</f>
        <v>#REF!</v>
      </c>
      <c r="G211" s="89" t="e">
        <f>+Cs!#REF!+Fin!#REF!+Rat!#REF!+MM!#REF!+Lib!#REF!+Pry!#REF!+Hal!#REF!+Cem!#REF!+Par!#REF!+EDv!G211+Str!#REF!+Ele!#REF!+Wat!#REF!+San!#REF!+Ref!#REF!</f>
        <v>#REF!</v>
      </c>
      <c r="H211" s="89" t="e">
        <f>+Cs!#REF!+Fin!#REF!+Rat!#REF!+MM!#REF!+Lib!#REF!+Pry!#REF!+Hal!#REF!+Cem!#REF!+Par!#REF!+EDv!H211+Str!#REF!+Ele!#REF!+Wat!#REF!+San!#REF!+Ref!#REF!</f>
        <v>#REF!</v>
      </c>
      <c r="I211" s="66" t="s">
        <v>2722</v>
      </c>
    </row>
    <row r="212" spans="1:9" x14ac:dyDescent="0.35">
      <c r="A212" s="66" t="s">
        <v>259</v>
      </c>
      <c r="B212" s="66" t="s">
        <v>260</v>
      </c>
      <c r="C212" s="89">
        <f>+Cs!B244+Fin!B244+Rat!B244+MM!B244+Lib!B244+Pry!B243+Hal!B244+Cem!B244+Par!B244+EDv!C212+Str!B244+Ele!B244+Wat!B244+San!B244+Ref!B244</f>
        <v>3500</v>
      </c>
      <c r="D212" s="89">
        <f>+Cs!C244+Fin!C244+Rat!C244+MM!C244+Lib!C244+Pry!C243+Hal!C244+Cem!C244+Par!C244+EDv!D212+Str!C244+Ele!C244+Wat!C244+San!C244+Ref!C244</f>
        <v>0</v>
      </c>
      <c r="E212" s="89">
        <f>+Cs!D244+Fin!D244+Rat!D244+MM!D244+Lib!D244+Pry!D243+Hal!D244+Cem!D244+Par!D244+EDv!E212+Str!D244+Ele!D244+Wat!D244+San!D244+Ref!D244</f>
        <v>0</v>
      </c>
      <c r="F212" s="89">
        <f>+Cs!E244+Fin!E244+Rat!E244+MM!E244+Lib!E244+Pry!E243+Hal!E244+Cem!E244+Par!E249+EDv!F212+Str!E244+Ele!E244+Wat!E248+San!E244+Ref!E244</f>
        <v>0</v>
      </c>
      <c r="G212" s="89">
        <f>+Cs!F244+Fin!F244+Rat!F244+MM!F244+Lib!F244+Pry!F243+Hal!F244+Cem!F244+Par!F249+EDv!G212+Str!F244+Ele!F244+Wat!F248+San!F244+Ref!F244</f>
        <v>0</v>
      </c>
      <c r="H212" s="89">
        <f>+Cs!G244+Fin!G244+Rat!G244+MM!G244+Lib!G244+Pry!G243+Hal!G244+Cem!G244+Par!G249+EDv!H212+Str!G244+Ele!G244+Wat!G248+San!G244+Ref!G244</f>
        <v>0</v>
      </c>
      <c r="I212" s="66" t="s">
        <v>2732</v>
      </c>
    </row>
    <row r="213" spans="1:9" x14ac:dyDescent="0.35">
      <c r="A213" s="66" t="s">
        <v>257</v>
      </c>
      <c r="B213" s="66" t="s">
        <v>2602</v>
      </c>
      <c r="C213" s="89">
        <f>+Cs!B251+Fin!B251+Rat!B251+MM!B251+Lib!B251+Pry!B250+Hal!B251+Cem!B251+Par!B251+EDv!C213+Str!B251+Ele!B251+Wat!B251+San!B251+Ref!B251</f>
        <v>8087000</v>
      </c>
      <c r="D213" s="89">
        <f>+Cs!C251+Fin!C251+Rat!C251+MM!C251+Lib!C251+Pry!C250+Hal!C251+Cem!C251+Par!C251+EDv!D213+Str!C251+Ele!C251+Wat!C251+San!C251+Ref!C251</f>
        <v>8087000</v>
      </c>
      <c r="E213" s="89">
        <f>+Cs!D251+Fin!D251+Rat!D251+MM!D251+Lib!D251+Pry!D250+Hal!D251+Cem!D251+Par!D251+EDv!E213+Str!D251+Ele!D251+Wat!D251+San!D251+Ref!D251</f>
        <v>8087000</v>
      </c>
      <c r="F213" s="89">
        <f>+Cs!E251+Fin!E251+Rat!E251+MM!E251+Lib!E251+Pry!E250+Hal!E251+Cem!E251+Par!E251+EDv!F213+Str!E251+Ele!E251+Wat!E251+San!E251+Ref!E251</f>
        <v>739900</v>
      </c>
      <c r="G213" s="89">
        <f>+Cs!F251+Fin!F251+Rat!F251+MM!F251+Lib!F251+Pry!F250+Hal!F251+Cem!F251+Par!F251+EDv!G213+Str!F251+Ele!F251+Wat!F251+San!F251+Ref!F251</f>
        <v>0</v>
      </c>
      <c r="H213" s="89">
        <f>+Cs!G251+Fin!G251+Rat!G251+MM!G251+Lib!G251+Pry!G250+Hal!G251+Cem!G251+Par!G251+EDv!H213+Str!G251+Ele!G251+Wat!G251+San!G251+Ref!G251</f>
        <v>0</v>
      </c>
      <c r="I213" s="66" t="s">
        <v>2722</v>
      </c>
    </row>
    <row r="214" spans="1:9" x14ac:dyDescent="0.35">
      <c r="A214" s="66" t="s">
        <v>860</v>
      </c>
      <c r="B214" s="66" t="s">
        <v>368</v>
      </c>
      <c r="C214" s="89" t="e">
        <f>+Cs!#REF!+Fin!#REF!+Rat!#REF!+MM!#REF!+Lib!#REF!+Pry!B251+Hal!#REF!+Cem!#REF!+Par!#REF!+EDv!C214+Str!#REF!+Ele!#REF!+Wat!#REF!+San!#REF!+Ref!#REF!</f>
        <v>#REF!</v>
      </c>
      <c r="D214" s="89" t="e">
        <f>+Cs!#REF!+Fin!#REF!+Rat!#REF!+MM!#REF!+Lib!#REF!+Pry!C251+Hal!#REF!+Cem!#REF!+Par!#REF!+EDv!D214+Str!#REF!+Ele!#REF!+Wat!#REF!+San!#REF!+Ref!#REF!</f>
        <v>#REF!</v>
      </c>
      <c r="E214" s="89" t="e">
        <f>+Cs!#REF!+Fin!#REF!+Rat!#REF!+MM!#REF!+Lib!#REF!+Pry!D251+Hal!#REF!+Cem!#REF!+Par!#REF!+EDv!E214+Str!#REF!+Ele!#REF!+Wat!#REF!+San!#REF!+Ref!#REF!</f>
        <v>#REF!</v>
      </c>
      <c r="F214" s="89" t="e">
        <f>+Cs!#REF!+Fin!#REF!+Rat!#REF!+MM!#REF!+Lib!#REF!+Pry!E251+Hal!#REF!+Cem!#REF!+Par!#REF!+EDv!F214+Str!#REF!+Ele!#REF!+Wat!#REF!+San!#REF!+Ref!#REF!</f>
        <v>#REF!</v>
      </c>
      <c r="G214" s="89" t="e">
        <f>+Cs!#REF!+Fin!#REF!+Rat!#REF!+MM!#REF!+Lib!#REF!+Pry!F251+Hal!#REF!+Cem!#REF!+Par!#REF!+EDv!G214+Str!#REF!+Ele!#REF!+Wat!#REF!+San!#REF!+Ref!#REF!</f>
        <v>#REF!</v>
      </c>
      <c r="H214" s="89" t="e">
        <f>+Cs!#REF!+Fin!#REF!+Rat!#REF!+MM!#REF!+Lib!#REF!+Pry!G251+Hal!#REF!+Cem!#REF!+Par!#REF!+EDv!H214+Str!#REF!+Ele!#REF!+Wat!#REF!+San!#REF!+Ref!#REF!</f>
        <v>#REF!</v>
      </c>
      <c r="I214" s="66" t="s">
        <v>2722</v>
      </c>
    </row>
    <row r="215" spans="1:9" x14ac:dyDescent="0.35">
      <c r="A215" s="66" t="s">
        <v>267</v>
      </c>
      <c r="B215" s="66" t="s">
        <v>268</v>
      </c>
      <c r="C215" s="89" t="e">
        <f>+Cs!#REF!+Fin!#REF!+Rat!#REF!+MM!#REF!+Lib!#REF!+Pry!#REF!+Hal!#REF!+Cem!#REF!+Par!#REF!+EDv!C215+Str!#REF!+Ele!#REF!+Wat!#REF!+San!#REF!+Ref!#REF!</f>
        <v>#REF!</v>
      </c>
      <c r="D215" s="89" t="e">
        <f>+Cs!#REF!+Fin!#REF!+Rat!#REF!+MM!#REF!+Lib!#REF!+Pry!#REF!+Hal!#REF!+Cem!#REF!+Par!#REF!+EDv!D215+Str!#REF!+Ele!#REF!+Wat!#REF!+San!#REF!+Ref!#REF!</f>
        <v>#REF!</v>
      </c>
      <c r="E215" s="89" t="e">
        <f>+Cs!#REF!+Fin!#REF!+Rat!#REF!+MM!#REF!+Lib!#REF!+Pry!#REF!+Hal!#REF!+Cem!#REF!+Par!#REF!+EDv!E215+Str!#REF!+Ele!#REF!+Wat!#REF!+San!#REF!+Ref!#REF!</f>
        <v>#REF!</v>
      </c>
      <c r="F215" s="89" t="e">
        <f>+Cs!#REF!+Fin!#REF!+Rat!#REF!+MM!#REF!+Lib!#REF!+Pry!#REF!+Hal!#REF!+Cem!#REF!+Par!#REF!+EDv!F215+Str!#REF!+Ele!#REF!+Wat!#REF!+San!#REF!+Ref!#REF!</f>
        <v>#REF!</v>
      </c>
      <c r="G215" s="89" t="e">
        <f>+Cs!#REF!+Fin!#REF!+Rat!#REF!+MM!#REF!+Lib!#REF!+Pry!#REF!+Hal!#REF!+Cem!#REF!+Par!#REF!+EDv!G215+Str!#REF!+Ele!#REF!+Wat!#REF!+San!#REF!+Ref!#REF!</f>
        <v>#REF!</v>
      </c>
      <c r="H215" s="89" t="e">
        <f>+Cs!#REF!+Fin!#REF!+Rat!#REF!+MM!#REF!+Lib!#REF!+Pry!#REF!+Hal!#REF!+Cem!#REF!+Par!#REF!+EDv!H215+Str!#REF!+Ele!#REF!+Wat!#REF!+San!#REF!+Ref!#REF!</f>
        <v>#REF!</v>
      </c>
      <c r="I215" s="66" t="s">
        <v>2722</v>
      </c>
    </row>
    <row r="216" spans="1:9" x14ac:dyDescent="0.35">
      <c r="A216" s="66" t="s">
        <v>413</v>
      </c>
      <c r="B216" s="66" t="s">
        <v>414</v>
      </c>
      <c r="C216" s="89" t="e">
        <f>+Cs!#REF!+Fin!#REF!+Rat!#REF!+MM!#REF!+Lib!#REF!+Pry!#REF!+Hal!#REF!+Cem!#REF!+Par!#REF!+EDv!C216+Str!#REF!+Ele!#REF!+Wat!#REF!+San!#REF!+Ref!#REF!</f>
        <v>#REF!</v>
      </c>
      <c r="D216" s="89" t="e">
        <f>+Cs!#REF!+Fin!#REF!+Rat!#REF!+MM!#REF!+Lib!#REF!+Pry!#REF!+Hal!#REF!+Cem!#REF!+Par!#REF!+EDv!D216+Str!#REF!+Ele!#REF!+Wat!#REF!+San!#REF!+Ref!#REF!</f>
        <v>#REF!</v>
      </c>
      <c r="E216" s="89" t="e">
        <f>+Cs!#REF!+Fin!#REF!+Rat!#REF!+MM!#REF!+Lib!#REF!+Pry!#REF!+Hal!#REF!+Cem!#REF!+Par!#REF!+EDv!E216+Str!#REF!+Ele!#REF!+Wat!#REF!+San!#REF!+Ref!#REF!</f>
        <v>#REF!</v>
      </c>
      <c r="F216" s="89" t="e">
        <f>+Cs!#REF!+Fin!#REF!+Rat!#REF!+MM!#REF!+Lib!#REF!+Pry!#REF!+Hal!#REF!+Cem!#REF!+Par!#REF!+EDv!F216+Str!#REF!+Ele!#REF!+Wat!#REF!+San!#REF!+Ref!#REF!</f>
        <v>#REF!</v>
      </c>
      <c r="G216" s="89" t="e">
        <f>+Cs!#REF!+Fin!#REF!+Rat!#REF!+MM!#REF!+Lib!#REF!+Pry!#REF!+Hal!#REF!+Cem!#REF!+Par!#REF!+EDv!G216+Str!#REF!+Ele!#REF!+Wat!#REF!+San!#REF!+Ref!#REF!</f>
        <v>#REF!</v>
      </c>
      <c r="H216" s="89" t="e">
        <f>+Cs!#REF!+Fin!#REF!+Rat!#REF!+MM!#REF!+Lib!#REF!+Pry!#REF!+Hal!#REF!+Cem!#REF!+Par!#REF!+EDv!H216+Str!#REF!+Ele!#REF!+Wat!#REF!+San!#REF!+Ref!#REF!</f>
        <v>#REF!</v>
      </c>
      <c r="I216" s="66" t="s">
        <v>2722</v>
      </c>
    </row>
    <row r="217" spans="1:9" x14ac:dyDescent="0.35">
      <c r="A217" s="66"/>
      <c r="B217" s="66" t="s">
        <v>2648</v>
      </c>
      <c r="C217" s="89" t="e">
        <f>+Cs!#REF!+Fin!#REF!+Rat!#REF!+MM!#REF!+Lib!#REF!+Pry!#REF!+Hal!#REF!+Cem!#REF!+Par!#REF!+EDv!C217+Str!#REF!+Ele!#REF!+Wat!#REF!+San!#REF!+Ref!#REF!</f>
        <v>#REF!</v>
      </c>
      <c r="D217" s="89" t="e">
        <f>+Cs!#REF!+Fin!#REF!+Rat!#REF!+MM!#REF!+Lib!#REF!+Pry!#REF!+Hal!#REF!+Cem!#REF!+Par!#REF!+EDv!D217+Str!#REF!+Ele!#REF!+Wat!#REF!+San!#REF!+Ref!#REF!</f>
        <v>#REF!</v>
      </c>
      <c r="E217" s="89" t="e">
        <f>+Cs!#REF!+Fin!#REF!+Rat!#REF!+MM!#REF!+Lib!#REF!+Pry!#REF!+Hal!#REF!+Cem!#REF!+Par!#REF!+EDv!E217+Str!#REF!+Ele!#REF!+Wat!#REF!+San!#REF!+Ref!#REF!</f>
        <v>#REF!</v>
      </c>
      <c r="F217" s="89" t="e">
        <f>+Cs!#REF!+Fin!#REF!+Rat!#REF!+MM!#REF!+Lib!#REF!+Pry!#REF!+Hal!#REF!+Cem!#REF!+Par!#REF!+EDv!F217+Str!#REF!+Ele!#REF!+Wat!#REF!+San!#REF!+Ref!#REF!</f>
        <v>#REF!</v>
      </c>
      <c r="G217" s="89" t="e">
        <f>+Cs!#REF!+Fin!#REF!+Rat!#REF!+MM!#REF!+Lib!#REF!+Pry!#REF!+Hal!#REF!+Cem!#REF!+Par!#REF!+EDv!G217+Str!#REF!+Ele!#REF!+Wat!#REF!+San!#REF!+Ref!#REF!</f>
        <v>#REF!</v>
      </c>
      <c r="H217" s="89" t="e">
        <f>+Cs!#REF!+Fin!#REF!+Rat!#REF!+MM!#REF!+Lib!#REF!+Pry!#REF!+Hal!#REF!+Cem!#REF!+Par!#REF!+EDv!H217+Str!#REF!+Ele!#REF!+Wat!#REF!+San!#REF!+Ref!#REF!</f>
        <v>#REF!</v>
      </c>
      <c r="I217" s="66" t="s">
        <v>2722</v>
      </c>
    </row>
    <row r="218" spans="1:9" x14ac:dyDescent="0.35">
      <c r="A218" s="66" t="s">
        <v>843</v>
      </c>
      <c r="B218" s="66" t="s">
        <v>440</v>
      </c>
      <c r="C218" s="89" t="e">
        <f>+Cs!#REF!+Fin!#REF!+Rat!#REF!+MM!#REF!+Lib!#REF!+Pry!#REF!+Hal!#REF!+Cem!#REF!+Par!#REF!+EDv!C218+Str!#REF!+Ele!#REF!+Wat!#REF!+San!#REF!+Ref!#REF!</f>
        <v>#REF!</v>
      </c>
      <c r="D218" s="89" t="e">
        <f>+Cs!#REF!+Fin!#REF!+Rat!#REF!+MM!#REF!+Lib!#REF!+Pry!#REF!+Hal!#REF!+Cem!#REF!+Par!#REF!+EDv!D218+Str!#REF!+Ele!#REF!+Wat!#REF!+San!#REF!+Ref!#REF!</f>
        <v>#REF!</v>
      </c>
      <c r="E218" s="89" t="e">
        <f>+Cs!#REF!+Fin!#REF!+Rat!#REF!+MM!#REF!+Lib!#REF!+Pry!#REF!+Hal!#REF!+Cem!#REF!+Par!#REF!+EDv!E218+Str!#REF!+Ele!#REF!+Wat!#REF!+San!#REF!+Ref!#REF!</f>
        <v>#REF!</v>
      </c>
      <c r="F218" s="89" t="e">
        <f>+Cs!#REF!+Fin!#REF!+Rat!#REF!+MM!#REF!+Lib!#REF!+Pry!#REF!+Hal!#REF!+Cem!#REF!+Par!#REF!+EDv!F218+Str!#REF!+Ele!#REF!+Wat!#REF!+San!#REF!+Ref!#REF!</f>
        <v>#REF!</v>
      </c>
      <c r="G218" s="89" t="e">
        <f>+Cs!#REF!+Fin!#REF!+Rat!#REF!+MM!#REF!+Lib!#REF!+Pry!#REF!+Hal!#REF!+Cem!#REF!+Par!#REF!+EDv!G218+Str!#REF!+Ele!#REF!+Wat!#REF!+San!#REF!+Ref!#REF!</f>
        <v>#REF!</v>
      </c>
      <c r="H218" s="89" t="e">
        <f>+Cs!#REF!+Fin!#REF!+Rat!#REF!+MM!#REF!+Lib!#REF!+Pry!#REF!+Hal!#REF!+Cem!#REF!+Par!#REF!+EDv!H218+Str!#REF!+Ele!#REF!+Wat!#REF!+San!#REF!+Ref!#REF!</f>
        <v>#REF!</v>
      </c>
      <c r="I218" s="66" t="s">
        <v>2722</v>
      </c>
    </row>
    <row r="219" spans="1:9" x14ac:dyDescent="0.35">
      <c r="A219" s="66" t="s">
        <v>826</v>
      </c>
      <c r="B219" s="66" t="s">
        <v>38</v>
      </c>
      <c r="C219" s="89" t="e">
        <f>+Cs!#REF!+Fin!#REF!+Rat!#REF!+MM!#REF!+Lib!#REF!+Pry!#REF!+Hal!#REF!+Cem!#REF!+Par!#REF!+EDv!C219+Str!#REF!+Ele!#REF!+Wat!#REF!+San!#REF!+Ref!#REF!</f>
        <v>#REF!</v>
      </c>
      <c r="D219" s="89" t="e">
        <f>+Cs!#REF!+Fin!#REF!+Rat!#REF!+MM!#REF!+Lib!#REF!+Pry!#REF!+Hal!#REF!+Cem!#REF!+Par!#REF!+EDv!D219+Str!#REF!+Ele!#REF!+Wat!#REF!+San!#REF!+Ref!#REF!</f>
        <v>#REF!</v>
      </c>
      <c r="E219" s="89" t="e">
        <f>+Cs!#REF!+Fin!#REF!+Rat!#REF!+MM!#REF!+Lib!#REF!+Pry!#REF!+Hal!#REF!+Cem!#REF!+Par!#REF!+EDv!E219+Str!#REF!+Ele!#REF!+Wat!#REF!+San!#REF!+Ref!#REF!</f>
        <v>#REF!</v>
      </c>
      <c r="F219" s="89" t="e">
        <f>+Cs!#REF!+Fin!#REF!+Rat!#REF!+MM!#REF!+Lib!#REF!+Pry!#REF!+Hal!#REF!+Cem!#REF!+Par!#REF!+EDv!F219+Str!#REF!+Ele!#REF!+Wat!#REF!+San!#REF!+Ref!#REF!</f>
        <v>#REF!</v>
      </c>
      <c r="G219" s="89" t="e">
        <f>+Cs!#REF!+Fin!#REF!+Rat!#REF!+MM!#REF!+Lib!#REF!+Pry!#REF!+Hal!#REF!+Cem!#REF!+Par!#REF!+EDv!G219+Str!#REF!+Ele!#REF!+Wat!#REF!+San!#REF!+Ref!#REF!</f>
        <v>#REF!</v>
      </c>
      <c r="H219" s="89" t="e">
        <f>+Cs!#REF!+Fin!#REF!+Rat!#REF!+MM!#REF!+Lib!#REF!+Pry!#REF!+Hal!#REF!+Cem!#REF!+Par!#REF!+EDv!H219+Str!#REF!+Ele!#REF!+Wat!#REF!+San!#REF!+Ref!#REF!</f>
        <v>#REF!</v>
      </c>
      <c r="I219" s="66" t="s">
        <v>2721</v>
      </c>
    </row>
    <row r="220" spans="1:9" x14ac:dyDescent="0.35">
      <c r="A220" s="66" t="s">
        <v>832</v>
      </c>
      <c r="B220" s="66" t="s">
        <v>42</v>
      </c>
      <c r="C220" s="89" t="e">
        <f>+Cs!#REF!+Fin!#REF!+Rat!#REF!+MM!#REF!+Lib!#REF!+Pry!#REF!+Hal!#REF!+Cem!#REF!+Par!#REF!+EDv!C220+Str!#REF!+Ele!#REF!+Wat!#REF!+San!#REF!+Ref!#REF!</f>
        <v>#REF!</v>
      </c>
      <c r="D220" s="89" t="e">
        <f>+Cs!#REF!+Fin!#REF!+Rat!#REF!+MM!#REF!+Lib!#REF!+Pry!#REF!+Hal!#REF!+Cem!#REF!+Par!#REF!+EDv!D220+Str!#REF!+Ele!#REF!+Wat!#REF!+San!#REF!+Ref!#REF!</f>
        <v>#REF!</v>
      </c>
      <c r="E220" s="89" t="e">
        <f>+Cs!#REF!+Fin!#REF!+Rat!#REF!+MM!#REF!+Lib!#REF!+Pry!#REF!+Hal!#REF!+Cem!#REF!+Par!#REF!+EDv!E220+Str!#REF!+Ele!#REF!+Wat!#REF!+San!#REF!+Ref!#REF!</f>
        <v>#REF!</v>
      </c>
      <c r="F220" s="89" t="e">
        <f>+Cs!#REF!+Fin!#REF!+Rat!#REF!+MM!#REF!+Lib!#REF!+Pry!#REF!+Hal!#REF!+Cem!#REF!+Par!#REF!+EDv!F220+Str!#REF!+Ele!#REF!+Wat!#REF!+San!#REF!+Ref!#REF!</f>
        <v>#REF!</v>
      </c>
      <c r="G220" s="89" t="e">
        <f>+Cs!#REF!+Fin!#REF!+Rat!#REF!+MM!#REF!+Lib!#REF!+Pry!#REF!+Hal!#REF!+Cem!#REF!+Par!#REF!+EDv!G220+Str!#REF!+Ele!#REF!+Wat!#REF!+San!#REF!+Ref!#REF!</f>
        <v>#REF!</v>
      </c>
      <c r="H220" s="89" t="e">
        <f>+Cs!#REF!+Fin!#REF!+Rat!#REF!+MM!#REF!+Lib!#REF!+Pry!#REF!+Hal!#REF!+Cem!#REF!+Par!#REF!+EDv!H220+Str!#REF!+Ele!#REF!+Wat!#REF!+San!#REF!+Ref!#REF!</f>
        <v>#REF!</v>
      </c>
      <c r="I220" s="66" t="s">
        <v>2721</v>
      </c>
    </row>
    <row r="221" spans="1:9" x14ac:dyDescent="0.35">
      <c r="A221" s="66" t="s">
        <v>204</v>
      </c>
      <c r="B221" s="66" t="s">
        <v>205</v>
      </c>
      <c r="C221" s="89" t="e">
        <f>+Cs!#REF!+Fin!#REF!+Rat!#REF!+MM!#REF!+Lib!#REF!+Pry!#REF!+Hal!#REF!+Cem!#REF!+Par!#REF!+EDv!C221+Str!#REF!+Ele!#REF!+Wat!#REF!+San!#REF!+Ref!#REF!</f>
        <v>#REF!</v>
      </c>
      <c r="D221" s="89" t="e">
        <f>+Cs!#REF!+Fin!#REF!+Rat!#REF!+MM!#REF!+Lib!#REF!+Pry!#REF!+Hal!#REF!+Cem!#REF!+Par!#REF!+EDv!D221+Str!#REF!+Ele!#REF!+Wat!#REF!+San!#REF!+Ref!#REF!</f>
        <v>#REF!</v>
      </c>
      <c r="E221" s="89" t="e">
        <f>+Cs!#REF!+Fin!#REF!+Rat!#REF!+MM!#REF!+Lib!#REF!+Pry!#REF!+Hal!#REF!+Cem!#REF!+Par!#REF!+EDv!E221+Str!#REF!+Ele!#REF!+Wat!#REF!+San!#REF!+Ref!#REF!</f>
        <v>#REF!</v>
      </c>
      <c r="F221" s="89" t="e">
        <f>+Cs!#REF!+Fin!#REF!+Rat!#REF!+MM!#REF!+Lib!#REF!+Pry!#REF!+Hal!#REF!+Cem!#REF!+Par!#REF!+EDv!F221+Str!#REF!+Ele!#REF!+Wat!#REF!+San!#REF!+Ref!#REF!</f>
        <v>#REF!</v>
      </c>
      <c r="G221" s="89" t="e">
        <f>+Cs!#REF!+Fin!#REF!+Rat!#REF!+MM!#REF!+Lib!#REF!+Pry!#REF!+Hal!#REF!+Cem!#REF!+Par!#REF!+EDv!G221+Str!#REF!+Ele!#REF!+Wat!#REF!+San!#REF!+Ref!#REF!</f>
        <v>#REF!</v>
      </c>
      <c r="H221" s="89" t="e">
        <f>+Cs!#REF!+Fin!#REF!+Rat!#REF!+MM!#REF!+Lib!#REF!+Pry!#REF!+Hal!#REF!+Cem!#REF!+Par!#REF!+EDv!H221+Str!#REF!+Ele!#REF!+Wat!#REF!+San!#REF!+Ref!#REF!</f>
        <v>#REF!</v>
      </c>
      <c r="I221" s="66" t="s">
        <v>2721</v>
      </c>
    </row>
    <row r="222" spans="1:9" x14ac:dyDescent="0.35">
      <c r="A222" s="66" t="s">
        <v>362</v>
      </c>
      <c r="B222" s="66" t="s">
        <v>244</v>
      </c>
      <c r="C222" s="89" t="e">
        <f>+Cs!#REF!+Fin!#REF!+Rat!#REF!+MM!#REF!+Lib!#REF!+Pry!#REF!+Hal!#REF!+Cem!#REF!+Par!#REF!+EDv!C222+Str!#REF!+Ele!#REF!+Wat!#REF!+San!#REF!+Ref!#REF!</f>
        <v>#REF!</v>
      </c>
      <c r="D222" s="89" t="e">
        <f>+Cs!#REF!+Fin!#REF!+Rat!#REF!+MM!#REF!+Lib!#REF!+Pry!#REF!+Hal!#REF!+Cem!#REF!+Par!#REF!+EDv!D222+Str!#REF!+Ele!#REF!+Wat!#REF!+San!#REF!+Ref!#REF!</f>
        <v>#REF!</v>
      </c>
      <c r="E222" s="89" t="e">
        <f>+Cs!#REF!+Fin!#REF!+Rat!#REF!+MM!#REF!+Lib!#REF!+Pry!#REF!+Hal!#REF!+Cem!#REF!+Par!#REF!+EDv!E222+Str!#REF!+Ele!#REF!+Wat!#REF!+San!#REF!+Ref!#REF!</f>
        <v>#REF!</v>
      </c>
      <c r="F222" s="89" t="e">
        <f>+Cs!#REF!+Fin!#REF!+Rat!#REF!+MM!#REF!+Lib!#REF!+Pry!#REF!+Hal!#REF!+Cem!#REF!+Par!#REF!+EDv!F222+Str!#REF!+Ele!#REF!+Wat!#REF!+San!#REF!+Ref!#REF!</f>
        <v>#REF!</v>
      </c>
      <c r="G222" s="89" t="e">
        <f>+Cs!#REF!+Fin!#REF!+Rat!#REF!+MM!#REF!+Lib!#REF!+Pry!#REF!+Hal!#REF!+Cem!#REF!+Par!#REF!+EDv!G222+Str!#REF!+Ele!#REF!+Wat!#REF!+San!#REF!+Ref!#REF!</f>
        <v>#REF!</v>
      </c>
      <c r="H222" s="89" t="e">
        <f>+Cs!#REF!+Fin!#REF!+Rat!#REF!+MM!#REF!+Lib!#REF!+Pry!#REF!+Hal!#REF!+Cem!#REF!+Par!#REF!+EDv!H222+Str!#REF!+Ele!#REF!+Wat!#REF!+San!#REF!+Ref!#REF!</f>
        <v>#REF!</v>
      </c>
      <c r="I222" s="66" t="s">
        <v>2722</v>
      </c>
    </row>
    <row r="223" spans="1:9" x14ac:dyDescent="0.35">
      <c r="A223" s="66" t="s">
        <v>339</v>
      </c>
      <c r="B223" s="66" t="s">
        <v>340</v>
      </c>
      <c r="C223" s="89" t="e">
        <f>+Cs!#REF!+Fin!#REF!+Rat!#REF!+MM!#REF!+Lib!#REF!+Pry!#REF!+Hal!#REF!+Cem!#REF!+Par!#REF!+EDv!C223+Str!#REF!+Ele!#REF!+Wat!#REF!+San!#REF!+Ref!#REF!</f>
        <v>#REF!</v>
      </c>
      <c r="D223" s="89" t="e">
        <f>+Cs!#REF!+Fin!#REF!+Rat!#REF!+MM!#REF!+Lib!#REF!+Pry!#REF!+Hal!#REF!+Cem!#REF!+Par!#REF!+EDv!D223+Str!#REF!+Ele!#REF!+Wat!#REF!+San!#REF!+Ref!#REF!</f>
        <v>#REF!</v>
      </c>
      <c r="E223" s="89" t="e">
        <f>+Cs!#REF!+Fin!#REF!+Rat!#REF!+MM!#REF!+Lib!#REF!+Pry!#REF!+Hal!#REF!+Cem!#REF!+Par!#REF!+EDv!E223+Str!#REF!+Ele!#REF!+Wat!#REF!+San!#REF!+Ref!#REF!</f>
        <v>#REF!</v>
      </c>
      <c r="F223" s="89" t="e">
        <f>+Cs!#REF!+Fin!#REF!+Rat!#REF!+MM!#REF!+Lib!#REF!+Pry!#REF!+Hal!#REF!+Cem!#REF!+Par!#REF!+EDv!F223+Str!#REF!+Ele!#REF!+Wat!#REF!+San!#REF!+Ref!#REF!</f>
        <v>#REF!</v>
      </c>
      <c r="G223" s="89" t="e">
        <f>+Cs!#REF!+Fin!#REF!+Rat!#REF!+MM!#REF!+Lib!#REF!+Pry!#REF!+Hal!#REF!+Cem!#REF!+Par!#REF!+EDv!G223+Str!#REF!+Ele!#REF!+Wat!#REF!+San!#REF!+Ref!#REF!</f>
        <v>#REF!</v>
      </c>
      <c r="H223" s="89" t="e">
        <f>+Cs!#REF!+Fin!#REF!+Rat!#REF!+MM!#REF!+Lib!#REF!+Pry!#REF!+Hal!#REF!+Cem!#REF!+Par!#REF!+EDv!H223+Str!#REF!+Ele!#REF!+Wat!#REF!+San!#REF!+Ref!#REF!</f>
        <v>#REF!</v>
      </c>
      <c r="I223" s="66" t="s">
        <v>2722</v>
      </c>
    </row>
    <row r="224" spans="1:9" x14ac:dyDescent="0.35">
      <c r="A224" s="66" t="s">
        <v>358</v>
      </c>
      <c r="B224" s="66" t="s">
        <v>359</v>
      </c>
      <c r="C224" s="89" t="e">
        <f>+Cs!#REF!+Fin!#REF!+Rat!#REF!+MM!#REF!+Lib!#REF!+Pry!#REF!+Hal!#REF!+Cem!#REF!+Par!#REF!+EDv!C224+Str!#REF!+Ele!#REF!+Wat!#REF!+San!#REF!+Ref!#REF!</f>
        <v>#REF!</v>
      </c>
      <c r="D224" s="89" t="e">
        <f>+Cs!#REF!+Fin!#REF!+Rat!#REF!+MM!#REF!+Lib!#REF!+Pry!#REF!+Hal!#REF!+Cem!#REF!+Par!#REF!+EDv!D224+Str!#REF!+Ele!#REF!+Wat!#REF!+San!#REF!+Ref!#REF!</f>
        <v>#REF!</v>
      </c>
      <c r="E224" s="89" t="e">
        <f>+Cs!#REF!+Fin!#REF!+Rat!#REF!+MM!#REF!+Lib!#REF!+Pry!#REF!+Hal!#REF!+Cem!#REF!+Par!#REF!+EDv!E224+Str!#REF!+Ele!#REF!+Wat!#REF!+San!#REF!+Ref!#REF!</f>
        <v>#REF!</v>
      </c>
      <c r="F224" s="89" t="e">
        <f>+Cs!#REF!+Fin!#REF!+Rat!#REF!+MM!#REF!+Lib!#REF!+Pry!#REF!+Hal!#REF!+Cem!#REF!+Par!#REF!+EDv!F224+Str!#REF!+Ele!#REF!+Wat!#REF!+San!#REF!+Ref!#REF!</f>
        <v>#REF!</v>
      </c>
      <c r="G224" s="89" t="e">
        <f>+Cs!#REF!+Fin!#REF!+Rat!#REF!+MM!#REF!+Lib!#REF!+Pry!#REF!+Hal!#REF!+Cem!#REF!+Par!#REF!+EDv!G224+Str!#REF!+Ele!#REF!+Wat!#REF!+San!#REF!+Ref!#REF!</f>
        <v>#REF!</v>
      </c>
      <c r="H224" s="89" t="e">
        <f>+Cs!#REF!+Fin!#REF!+Rat!#REF!+MM!#REF!+Lib!#REF!+Pry!#REF!+Hal!#REF!+Cem!#REF!+Par!#REF!+EDv!H224+Str!#REF!+Ele!#REF!+Wat!#REF!+San!#REF!+Ref!#REF!</f>
        <v>#REF!</v>
      </c>
      <c r="I224" s="66" t="s">
        <v>2722</v>
      </c>
    </row>
    <row r="225" spans="1:9" x14ac:dyDescent="0.35">
      <c r="A225" s="66" t="s">
        <v>341</v>
      </c>
      <c r="B225" s="66" t="s">
        <v>342</v>
      </c>
      <c r="C225" s="89" t="e">
        <f>+Cs!#REF!+Fin!#REF!+Rat!#REF!+MM!#REF!+Lib!#REF!+Pry!#REF!+Hal!#REF!+Cem!#REF!+Par!#REF!+EDv!C225+Str!#REF!+Ele!#REF!+Wat!#REF!+San!#REF!+Ref!#REF!</f>
        <v>#REF!</v>
      </c>
      <c r="D225" s="89" t="e">
        <f>+Cs!#REF!+Fin!#REF!+Rat!#REF!+MM!#REF!+Lib!#REF!+Pry!#REF!+Hal!#REF!+Cem!#REF!+Par!#REF!+EDv!D225+Str!#REF!+Ele!#REF!+Wat!#REF!+San!#REF!+Ref!#REF!</f>
        <v>#REF!</v>
      </c>
      <c r="E225" s="89" t="e">
        <f>+Cs!#REF!+Fin!#REF!+Rat!#REF!+MM!#REF!+Lib!#REF!+Pry!#REF!+Hal!#REF!+Cem!#REF!+Par!#REF!+EDv!E225+Str!#REF!+Ele!#REF!+Wat!#REF!+San!#REF!+Ref!#REF!</f>
        <v>#REF!</v>
      </c>
      <c r="F225" s="89" t="e">
        <f>+Cs!#REF!+Fin!#REF!+Rat!#REF!+MM!#REF!+Lib!#REF!+Pry!#REF!+Hal!#REF!+Cem!#REF!+Par!#REF!+EDv!F225+Str!#REF!+Ele!#REF!+Wat!#REF!+San!#REF!+Ref!#REF!</f>
        <v>#REF!</v>
      </c>
      <c r="G225" s="89" t="e">
        <f>+Cs!#REF!+Fin!#REF!+Rat!#REF!+MM!#REF!+Lib!#REF!+Pry!#REF!+Hal!#REF!+Cem!#REF!+Par!#REF!+EDv!G225+Str!#REF!+Ele!#REF!+Wat!#REF!+San!#REF!+Ref!#REF!</f>
        <v>#REF!</v>
      </c>
      <c r="H225" s="89" t="e">
        <f>+Cs!#REF!+Fin!#REF!+Rat!#REF!+MM!#REF!+Lib!#REF!+Pry!#REF!+Hal!#REF!+Cem!#REF!+Par!#REF!+EDv!H225+Str!#REF!+Ele!#REF!+Wat!#REF!+San!#REF!+Ref!#REF!</f>
        <v>#REF!</v>
      </c>
      <c r="I225" s="66" t="s">
        <v>2722</v>
      </c>
    </row>
    <row r="226" spans="1:9" x14ac:dyDescent="0.35">
      <c r="A226" s="66" t="s">
        <v>348</v>
      </c>
      <c r="B226" s="66" t="s">
        <v>349</v>
      </c>
      <c r="C226" s="89" t="e">
        <f>+Cs!#REF!+Fin!#REF!+Rat!#REF!+MM!#REF!+Lib!#REF!+Pry!#REF!+Hal!#REF!+Cem!#REF!+Par!#REF!+EDv!C226+Str!#REF!+Ele!#REF!+Wat!#REF!+San!#REF!+Ref!#REF!</f>
        <v>#REF!</v>
      </c>
      <c r="D226" s="89" t="e">
        <f>+Cs!#REF!+Fin!#REF!+Rat!#REF!+MM!#REF!+Lib!#REF!+Pry!#REF!+Hal!#REF!+Cem!#REF!+Par!#REF!+EDv!D226+Str!#REF!+Ele!#REF!+Wat!#REF!+San!#REF!+Ref!#REF!</f>
        <v>#REF!</v>
      </c>
      <c r="E226" s="89" t="e">
        <f>+Cs!#REF!+Fin!#REF!+Rat!#REF!+MM!#REF!+Lib!#REF!+Pry!#REF!+Hal!#REF!+Cem!#REF!+Par!#REF!+EDv!E226+Str!#REF!+Ele!#REF!+Wat!#REF!+San!#REF!+Ref!#REF!</f>
        <v>#REF!</v>
      </c>
      <c r="F226" s="89" t="e">
        <f>+Cs!#REF!+Fin!#REF!+Rat!#REF!+MM!#REF!+Lib!#REF!+Pry!#REF!+Hal!#REF!+Cem!#REF!+Par!#REF!+EDv!F226+Str!#REF!+Ele!#REF!+Wat!#REF!+San!#REF!+Ref!#REF!</f>
        <v>#REF!</v>
      </c>
      <c r="G226" s="89" t="e">
        <f>+Cs!#REF!+Fin!#REF!+Rat!#REF!+MM!#REF!+Lib!#REF!+Pry!#REF!+Hal!#REF!+Cem!#REF!+Par!#REF!+EDv!G226+Str!#REF!+Ele!#REF!+Wat!#REF!+San!#REF!+Ref!#REF!</f>
        <v>#REF!</v>
      </c>
      <c r="H226" s="89" t="e">
        <f>+Cs!#REF!+Fin!#REF!+Rat!#REF!+MM!#REF!+Lib!#REF!+Pry!#REF!+Hal!#REF!+Cem!#REF!+Par!#REF!+EDv!H226+Str!#REF!+Ele!#REF!+Wat!#REF!+San!#REF!+Ref!#REF!</f>
        <v>#REF!</v>
      </c>
      <c r="I226" s="66" t="s">
        <v>2722</v>
      </c>
    </row>
    <row r="227" spans="1:9" x14ac:dyDescent="0.35">
      <c r="A227" s="66" t="s">
        <v>850</v>
      </c>
      <c r="B227" s="66" t="s">
        <v>851</v>
      </c>
      <c r="C227" s="89" t="e">
        <f>+Cs!#REF!+Fin!#REF!+Rat!#REF!+MM!#REF!+Lib!#REF!+Pry!#REF!+Hal!#REF!+Cem!#REF!+Par!#REF!+EDv!C227+Str!#REF!+Ele!#REF!+Wat!#REF!+San!#REF!+Ref!#REF!</f>
        <v>#REF!</v>
      </c>
      <c r="D227" s="89" t="e">
        <f>+Cs!#REF!+Fin!#REF!+Rat!#REF!+MM!#REF!+Lib!#REF!+Pry!#REF!+Hal!#REF!+Cem!#REF!+Par!#REF!+EDv!D227+Str!#REF!+Ele!#REF!+Wat!#REF!+San!#REF!+Ref!#REF!</f>
        <v>#REF!</v>
      </c>
      <c r="E227" s="89" t="e">
        <f>+Cs!#REF!+Fin!#REF!+Rat!#REF!+MM!#REF!+Lib!#REF!+Pry!#REF!+Hal!#REF!+Cem!#REF!+Par!#REF!+EDv!E227+Str!#REF!+Ele!#REF!+Wat!#REF!+San!#REF!+Ref!#REF!</f>
        <v>#REF!</v>
      </c>
      <c r="F227" s="89" t="e">
        <f>+Cs!#REF!+Fin!#REF!+Rat!#REF!+MM!#REF!+Lib!#REF!+Pry!#REF!+Hal!#REF!+Cem!#REF!+Par!#REF!+EDv!F227+Str!#REF!+Ele!#REF!+Wat!#REF!+San!#REF!+Ref!#REF!</f>
        <v>#REF!</v>
      </c>
      <c r="G227" s="89" t="e">
        <f>+Cs!#REF!+Fin!#REF!+Rat!#REF!+MM!#REF!+Lib!#REF!+Pry!#REF!+Hal!#REF!+Cem!#REF!+Par!#REF!+EDv!G227+Str!#REF!+Ele!#REF!+Wat!#REF!+San!#REF!+Ref!#REF!</f>
        <v>#REF!</v>
      </c>
      <c r="H227" s="89" t="e">
        <f>+Cs!#REF!+Fin!#REF!+Rat!#REF!+MM!#REF!+Lib!#REF!+Pry!#REF!+Hal!#REF!+Cem!#REF!+Par!#REF!+EDv!H227+Str!#REF!+Ele!#REF!+Wat!#REF!+San!#REF!+Ref!#REF!</f>
        <v>#REF!</v>
      </c>
      <c r="I227" s="66" t="s">
        <v>2722</v>
      </c>
    </row>
    <row r="228" spans="1:9" x14ac:dyDescent="0.35">
      <c r="A228" s="66" t="s">
        <v>87</v>
      </c>
      <c r="B228" s="66" t="s">
        <v>465</v>
      </c>
      <c r="C228" s="89" t="e">
        <f>+Cs!#REF!+Fin!#REF!+Rat!#REF!+MM!#REF!+Lib!#REF!+Pry!#REF!+Hal!#REF!+Cem!#REF!+Par!#REF!+EDv!C229+Str!#REF!+Ele!#REF!+Wat!#REF!+San!#REF!+Ref!#REF!</f>
        <v>#REF!</v>
      </c>
      <c r="D228" s="89" t="e">
        <f>+Cs!#REF!+Fin!#REF!+Rat!#REF!+MM!#REF!+Lib!#REF!+Pry!#REF!+Hal!#REF!+Cem!#REF!+Par!#REF!+EDv!D229+Str!#REF!+Ele!#REF!+Wat!#REF!+San!#REF!+Ref!#REF!</f>
        <v>#REF!</v>
      </c>
      <c r="E228" s="89" t="e">
        <f>+Cs!#REF!+Fin!#REF!+Rat!#REF!+MM!#REF!+Lib!#REF!+Pry!#REF!+Hal!#REF!+Cem!#REF!+Par!#REF!+EDv!E229+Str!#REF!+Ele!#REF!+Wat!#REF!+San!#REF!+Ref!#REF!</f>
        <v>#REF!</v>
      </c>
      <c r="F228" s="89" t="e">
        <f>+Cs!#REF!+Fin!#REF!+Rat!#REF!+MM!#REF!+Lib!#REF!+Pry!#REF!+Hal!#REF!+Cem!#REF!+Par!#REF!+EDv!F229+Str!#REF!+Ele!#REF!+Wat!#REF!+San!#REF!+Ref!#REF!</f>
        <v>#REF!</v>
      </c>
      <c r="G228" s="89" t="e">
        <f>+Cs!#REF!+Fin!#REF!+Rat!#REF!+MM!#REF!+Lib!#REF!+Pry!#REF!+Hal!#REF!+Cem!#REF!+Par!#REF!+EDv!G229+Str!#REF!+Ele!#REF!+Wat!#REF!+San!#REF!+Ref!#REF!</f>
        <v>#REF!</v>
      </c>
      <c r="H228" s="89" t="e">
        <f>+Cs!#REF!+Fin!#REF!+Rat!#REF!+MM!#REF!+Lib!#REF!+Pry!#REF!+Hal!#REF!+Cem!#REF!+Par!#REF!+EDv!H229+Str!#REF!+Ele!#REF!+Wat!#REF!+San!#REF!+Ref!#REF!</f>
        <v>#REF!</v>
      </c>
      <c r="I228" s="66" t="s">
        <v>2722</v>
      </c>
    </row>
    <row r="229" spans="1:9" x14ac:dyDescent="0.35">
      <c r="A229" s="66" t="s">
        <v>464</v>
      </c>
      <c r="B229" s="66" t="s">
        <v>305</v>
      </c>
      <c r="C229" s="89" t="e">
        <f>+Cs!B261+Fin!B261+Rat!B261+MM!B261+Lib!B261+Pry!#REF!+Hal!B261+Cem!B261+Par!B261+EDv!C230+Str!B261+Ele!B261+Wat!B261+San!B261+Ref!B261</f>
        <v>#REF!</v>
      </c>
      <c r="D229" s="89" t="e">
        <f>+Cs!C261+Fin!C261+Rat!C261+MM!C261+Lib!C261+Pry!#REF!+Hal!C261+Cem!C261+Par!C261+EDv!D230+Str!C261+Ele!C261+Wat!C261+San!C261+Ref!C261</f>
        <v>#REF!</v>
      </c>
      <c r="E229" s="89" t="e">
        <f>+Cs!D261+Fin!D261+Rat!D261+MM!D261+Lib!D261+Pry!#REF!+Hal!D261+Cem!D261+Par!D261+EDv!E230+Str!D261+Ele!D261+Wat!D261+San!D261+Ref!D261</f>
        <v>#REF!</v>
      </c>
      <c r="F229" s="89" t="e">
        <f>+Cs!E261+Fin!E261+Rat!E261+MM!E261+Lib!E261+Pry!#REF!+Hal!E261+Cem!E261+Par!E261+EDv!F230+Str!E261+Ele!E261+Wat!E261+San!E261+Ref!E261</f>
        <v>#REF!</v>
      </c>
      <c r="G229" s="89" t="e">
        <f>+Cs!F261+Fin!F261+Rat!F261+MM!F261+Lib!F261+Pry!#REF!+Hal!F261+Cem!F261+Par!F261+EDv!G230+Str!F261+Ele!F261+Wat!F261+San!F261+Ref!F261</f>
        <v>#REF!</v>
      </c>
      <c r="H229" s="89" t="e">
        <f>+Cs!G261+Fin!G261+Rat!G261+MM!G261+Lib!G261+Pry!#REF!+Hal!G261+Cem!G261+Par!G261+EDv!H230+Str!G261+Ele!G261+Wat!G261+San!G261+Ref!G261</f>
        <v>#REF!</v>
      </c>
      <c r="I229" s="66" t="s">
        <v>2722</v>
      </c>
    </row>
    <row r="230" spans="1:9" x14ac:dyDescent="0.35">
      <c r="A230" s="66" t="s">
        <v>304</v>
      </c>
      <c r="B230" s="66" t="s">
        <v>2742</v>
      </c>
      <c r="C230" s="89">
        <f>+Cs!B270+Fin!B270+Rat!B270+MM!B270+Lib!B270+Pry!B269+Hal!B270+Cem!B270+Par!B270+EDv!C234+Str!B270+Ele!B270+Wat!B270+San!B270+Ref!B270</f>
        <v>0</v>
      </c>
      <c r="D230" s="89">
        <f>+Cs!C270+Fin!C270+Rat!C270+MM!C270+Lib!C270+Pry!C269+Hal!C270+Cem!C270+Par!C270+EDv!D234+Str!C270+Ele!C270+Wat!C270+San!C270+Ref!C270</f>
        <v>0</v>
      </c>
      <c r="E230" s="89">
        <f>+Cs!D270+Fin!D270+Rat!D270+MM!D270+Lib!D270+Pry!D269+Hal!D270+Cem!D270+Par!D270+EDv!E234+Str!D270+Ele!D270+Wat!D270+San!D270+Ref!D270</f>
        <v>0</v>
      </c>
      <c r="F230" s="89">
        <f>+Cs!E270+Fin!E270+Rat!E270+MM!E270+Lib!E270+Pry!E269+Hal!E270+Cem!E270+Par!E270+EDv!F234+Str!E270+Ele!E270+Wat!E270+San!E270+Ref!E270</f>
        <v>0</v>
      </c>
      <c r="G230" s="89">
        <f>+Cs!F270+Fin!F270+Rat!F270+MM!F270+Lib!F270+Pry!F269+Hal!F270+Cem!F270+Par!F270+EDv!G234+Str!F270+Ele!F270+Wat!F270+San!F270+Ref!F270</f>
        <v>0</v>
      </c>
      <c r="H230" s="89">
        <f>+Cs!G270+Fin!G270+Rat!G270+MM!G270+Lib!G270+Pry!G269+Hal!G270+Cem!G270+Par!G270+EDv!H234+Str!G270+Ele!G270+Wat!G270+San!G270+Ref!G270</f>
        <v>0</v>
      </c>
      <c r="I230" s="66" t="s">
        <v>2721</v>
      </c>
    </row>
    <row r="231" spans="1:9" x14ac:dyDescent="0.35">
      <c r="A231" s="66" t="s">
        <v>824</v>
      </c>
      <c r="B231" s="66" t="s">
        <v>2760</v>
      </c>
      <c r="C231" s="89">
        <f>+Cs!B262+Fin!B262+Rat!B262+MM!B262+Lib!B262+Pry!B261+Hal!B262+Cem!B262+Par!B262+EDv!C231+Str!B262+Ele!B262+Wat!B262+San!B262+Ref!B262</f>
        <v>20000000</v>
      </c>
      <c r="D231" s="89">
        <f>+Cs!C262+Fin!C262+Rat!C262+MM!C262+Lib!C262+Pry!C261+Hal!C262+Cem!C262+Par!C262+EDv!D231+Str!C262+Ele!C262+Wat!C262+San!C262+Ref!C262</f>
        <v>0</v>
      </c>
      <c r="E231" s="89">
        <f>+Cs!D262+Fin!D262+Rat!D262+MM!D262+Lib!D262+Pry!D261+Hal!D262+Cem!D262+Par!D262+EDv!E231+Str!D262+Ele!D262+Wat!D262+San!D262+Ref!D262</f>
        <v>0</v>
      </c>
      <c r="F231" s="89">
        <f>+Cs!E262+Fin!E262+Rat!E262+MM!E262+Lib!E262+Pry!E261+Hal!E262+Cem!E262+Par!E262+EDv!F231+Str!E262+Ele!E262+Wat!E262+San!E262+Ref!E262</f>
        <v>0</v>
      </c>
      <c r="G231" s="89">
        <f>+Cs!F262+Fin!F262+Rat!F262+MM!F262+Lib!F262+Pry!F261+Hal!F262+Cem!F262+Par!F262+EDv!G231+Str!F262+Ele!F262+Wat!F262+San!F262+Ref!F262</f>
        <v>0</v>
      </c>
      <c r="H231" s="89">
        <f>+Cs!G262+Fin!G262+Rat!G262+MM!G262+Lib!G262+Pry!G261+Hal!G262+Cem!G262+Par!G262+EDv!H231+Str!G262+Ele!G262+Wat!G262+San!G262+Ref!G262</f>
        <v>0</v>
      </c>
      <c r="I231" s="66" t="s">
        <v>2721</v>
      </c>
    </row>
    <row r="232" spans="1:9" x14ac:dyDescent="0.35">
      <c r="A232" s="66" t="s">
        <v>265</v>
      </c>
      <c r="B232" s="66" t="s">
        <v>2735</v>
      </c>
      <c r="C232" s="89" t="e">
        <f>+Cs!#REF!+Fin!#REF!+Rat!#REF!+MM!#REF!+Lib!#REF!+Pry!#REF!+Hal!#REF!+Cem!#REF!+Par!#REF!+EDv!C228+Str!#REF!+Ele!#REF!+Wat!#REF!+San!#REF!+Ref!#REF!</f>
        <v>#REF!</v>
      </c>
      <c r="D232" s="89" t="e">
        <f>+Cs!#REF!+Fin!#REF!+Rat!#REF!+MM!#REF!+Lib!#REF!+Pry!#REF!+Hal!#REF!+Cem!#REF!+Par!#REF!+EDv!D228+Str!#REF!+Ele!#REF!+Wat!#REF!+San!#REF!+Ref!#REF!</f>
        <v>#REF!</v>
      </c>
      <c r="E232" s="89" t="e">
        <f>+Cs!#REF!+Fin!#REF!+Rat!#REF!+MM!#REF!+Lib!#REF!+Pry!#REF!+Hal!#REF!+Cem!#REF!+Par!#REF!+EDv!E228+Str!#REF!+Ele!#REF!+Wat!#REF!+San!#REF!+Ref!#REF!</f>
        <v>#REF!</v>
      </c>
      <c r="F232" s="89" t="e">
        <f>+Cs!#REF!+Fin!#REF!+Rat!#REF!+MM!#REF!+Lib!#REF!+Pry!#REF!+Hal!#REF!+Cem!#REF!+Par!#REF!+EDv!F228+Str!#REF!+Ele!#REF!+Wat!#REF!+San!#REF!+Ref!#REF!</f>
        <v>#REF!</v>
      </c>
      <c r="G232" s="89" t="e">
        <f>+Cs!#REF!+Fin!#REF!+Rat!#REF!+MM!#REF!+Lib!#REF!+Pry!#REF!+Hal!#REF!+Cem!#REF!+Par!#REF!+EDv!G228+Str!#REF!+Ele!#REF!+Wat!#REF!+San!#REF!+Ref!#REF!</f>
        <v>#REF!</v>
      </c>
      <c r="H232" s="89" t="e">
        <f>+Cs!#REF!+Fin!#REF!+Rat!#REF!+MM!#REF!+Lib!#REF!+Pry!#REF!+Hal!#REF!+Cem!#REF!+Par!#REF!+EDv!H228+Str!#REF!+Ele!#REF!+Wat!#REF!+San!#REF!+Ref!#REF!</f>
        <v>#REF!</v>
      </c>
      <c r="I232" s="66" t="s">
        <v>2722</v>
      </c>
    </row>
    <row r="233" spans="1:9" x14ac:dyDescent="0.35">
      <c r="A233" s="66" t="s">
        <v>836</v>
      </c>
      <c r="B233" s="66" t="s">
        <v>2658</v>
      </c>
      <c r="C233" s="89">
        <f>+Cs!B268+Fin!B268+Rat!B268+MM!B268+Lib!B268+Pry!B267+Hal!B268+Cem!B268+Par!B268+EDv!C232+Str!B268+Ele!B268+Wat!B268+San!B268+Ref!B268</f>
        <v>36600</v>
      </c>
      <c r="D233" s="89">
        <f>+Cs!C268+Fin!C268+Rat!C268+MM!C268+Lib!C268+Pry!C267+Hal!C268+Cem!C268+Par!C268+EDv!D232+Str!C268+Ele!C268+Wat!C268+San!C268+Ref!C268</f>
        <v>36600</v>
      </c>
      <c r="E233" s="89">
        <f>+Cs!D268+Fin!D268+Rat!D268+MM!D268+Lib!D268+Pry!D267+Hal!D268+Cem!D268+Par!D268+EDv!E232+Str!D268+Ele!D268+Wat!D268+San!D268+Ref!D268</f>
        <v>35619</v>
      </c>
      <c r="F233" s="89">
        <f>+Cs!E268+Fin!E268+Rat!E268+MM!E268+Lib!E268+Pry!E267+Hal!E268+Cem!E268+Par!E268+EDv!F232+Str!E268+Ele!E268+Wat!E268+San!E268+Ref!E268</f>
        <v>630000</v>
      </c>
      <c r="G233" s="89">
        <f>+Cs!F268+Fin!F268+Rat!F268+MM!F268+Lib!F268+Pry!F267+Hal!F268+Cem!F268+Par!F268+EDv!G232+Str!F268+Ele!F268+Wat!F268+San!F268+Ref!F268</f>
        <v>659000</v>
      </c>
      <c r="H233" s="89">
        <f>+Cs!G268+Fin!G268+Rat!G268+MM!G268+Lib!G268+Pry!G267+Hal!G268+Cem!G268+Par!G268+EDv!H232+Str!G268+Ele!G268+Wat!G268+San!G268+Ref!G268</f>
        <v>689400</v>
      </c>
      <c r="I233" s="66" t="s">
        <v>2722</v>
      </c>
    </row>
    <row r="234" spans="1:9" x14ac:dyDescent="0.35">
      <c r="A234" s="66" t="s">
        <v>637</v>
      </c>
      <c r="B234" s="66" t="s">
        <v>50</v>
      </c>
      <c r="C234" s="89">
        <f>+Cs!B269+Fin!B269+Rat!B269+MM!B269+Lib!B269+Pry!B268+Hal!B269+Cem!B269+Par!B269+EDv!C233+Str!B269+Ele!B269+Wat!B269+San!B269+Ref!B269</f>
        <v>0</v>
      </c>
      <c r="D234" s="89">
        <f>+Cs!C269+Fin!C269+Rat!C269+MM!C269+Lib!C269+Pry!C268+Hal!C269+Cem!C269+Par!C269+EDv!D233+Str!C269+Ele!C269+Wat!C269+San!C269+Ref!C269</f>
        <v>0</v>
      </c>
      <c r="E234" s="89">
        <f>+Cs!D269+Fin!D269+Rat!D269+MM!D269+Lib!D269+Pry!D268+Hal!D269+Cem!D269+Par!D269+EDv!E233+Str!D269+Ele!D269+Wat!D269+San!D269+Ref!D269</f>
        <v>0</v>
      </c>
      <c r="F234" s="89">
        <f>+Cs!E269+Fin!E269+Rat!E269+MM!E269+Lib!E269+Pry!E268+Hal!E269+Cem!E269+Par!E269+EDv!F233+Str!E269+Ele!E269+Wat!E269+San!E269+Ref!E269</f>
        <v>0</v>
      </c>
      <c r="G234" s="89">
        <f>+Cs!F269+Fin!F269+Rat!F269+MM!F269+Lib!F269+Pry!F268+Hal!F269+Cem!F269+Par!F269+EDv!G233+Str!F269+Ele!F269+Wat!F269+San!F269+Ref!F269</f>
        <v>0</v>
      </c>
      <c r="H234" s="89">
        <f>+Cs!G269+Fin!G269+Rat!G269+MM!G269+Lib!G269+Pry!G268+Hal!G269+Cem!G269+Par!G269+EDv!H233+Str!G269+Ele!G269+Wat!G269+San!G269+Ref!G269</f>
        <v>0</v>
      </c>
      <c r="I234" s="66" t="s">
        <v>2721</v>
      </c>
    </row>
    <row r="235" spans="1:9" x14ac:dyDescent="0.35">
      <c r="A235" s="66" t="s">
        <v>631</v>
      </c>
      <c r="B235" s="66" t="s">
        <v>632</v>
      </c>
      <c r="C235" s="89" t="e">
        <f>+Cs!#REF!+Fin!#REF!+Rat!#REF!+MM!#REF!+Lib!#REF!+Pry!#REF!+Hal!#REF!+Cem!#REF!+Par!#REF!+EDv!C235+Str!#REF!+Ele!#REF!+Wat!#REF!+San!#REF!+Ref!#REF!</f>
        <v>#REF!</v>
      </c>
      <c r="D235" s="89" t="e">
        <f>+Cs!#REF!+Fin!#REF!+Rat!#REF!+MM!#REF!+Lib!#REF!+Pry!#REF!+Hal!#REF!+Cem!#REF!+Par!#REF!+EDv!D235+Str!#REF!+Ele!#REF!+Wat!#REF!+San!#REF!+Ref!#REF!</f>
        <v>#REF!</v>
      </c>
      <c r="E235" s="89" t="e">
        <f>+Cs!#REF!+Fin!#REF!+Rat!#REF!+MM!#REF!+Lib!#REF!+Pry!#REF!+Hal!#REF!+Cem!#REF!+Par!#REF!+EDv!E235+Str!#REF!+Ele!#REF!+Wat!#REF!+San!#REF!+Ref!#REF!</f>
        <v>#REF!</v>
      </c>
      <c r="F235" s="89" t="e">
        <f>+Cs!#REF!+Fin!#REF!+Rat!#REF!+MM!#REF!+Lib!#REF!+Pry!#REF!+Hal!#REF!+Cem!#REF!+Par!#REF!+EDv!F235+Str!#REF!+Ele!#REF!+Wat!#REF!+San!#REF!+Ref!#REF!</f>
        <v>#REF!</v>
      </c>
      <c r="G235" s="89" t="e">
        <f>+Cs!#REF!+Fin!#REF!+Rat!#REF!+MM!#REF!+Lib!#REF!+Pry!#REF!+Hal!#REF!+Cem!#REF!+Par!#REF!+EDv!G235+Str!#REF!+Ele!#REF!+Wat!#REF!+San!#REF!+Ref!#REF!</f>
        <v>#REF!</v>
      </c>
      <c r="H235" s="89" t="e">
        <f>+Cs!#REF!+Fin!#REF!+Rat!#REF!+MM!#REF!+Lib!#REF!+Pry!#REF!+Hal!#REF!+Cem!#REF!+Par!#REF!+EDv!H235+Str!#REF!+Ele!#REF!+Wat!#REF!+San!#REF!+Ref!#REF!</f>
        <v>#REF!</v>
      </c>
      <c r="I235" s="66" t="s">
        <v>2722</v>
      </c>
    </row>
    <row r="236" spans="1:9" x14ac:dyDescent="0.35">
      <c r="A236" s="66" t="s">
        <v>828</v>
      </c>
      <c r="B236" s="66" t="s">
        <v>526</v>
      </c>
      <c r="C236" s="89">
        <f>+Cs!B271+Fin!B271+Rat!B271+MM!B271+Lib!B271+Pry!B270+Hal!B271+Cem!B271+Par!B271+EDv!C236+Str!B271+Ele!B271+Wat!B271+San!B271+Ref!B271</f>
        <v>33700</v>
      </c>
      <c r="D236" s="89">
        <f>+Cs!C271+Fin!C271+Rat!C271+MM!C271+Lib!C271+Pry!C270+Hal!C271+Cem!C271+Par!C271+EDv!D236+Str!C271+Ele!C271+Wat!C271+San!C271+Ref!C271</f>
        <v>33700</v>
      </c>
      <c r="E236" s="89">
        <f>+Cs!D271+Fin!D271+Rat!D271+MM!D271+Lib!D271+Pry!D270+Hal!D271+Cem!D271+Par!D271+EDv!E236+Str!D271+Ele!D271+Wat!D271+San!D271+Ref!D271</f>
        <v>39212.68</v>
      </c>
      <c r="F236" s="89">
        <f>+Cs!E271+Fin!E271+Rat!E271+MM!E271+Lib!E271+Pry!E270+Hal!E271+Cem!E271+Par!E271+EDv!F236+Str!E271+Ele!E271+Wat!E271+San!E271+Ref!E271</f>
        <v>43600</v>
      </c>
      <c r="G236" s="89">
        <f>+Cs!F271+Fin!F271+Rat!F271+MM!F271+Lib!F271+Pry!F270+Hal!F271+Cem!F271+Par!F271+EDv!G236+Str!F271+Ele!F271+Wat!F271+San!F271+Ref!F271</f>
        <v>45700</v>
      </c>
      <c r="H236" s="89">
        <f>+Cs!G271+Fin!G271+Rat!G271+MM!G271+Lib!G271+Pry!G270+Hal!G271+Cem!G271+Par!G271+EDv!H236+Str!G271+Ele!G271+Wat!G271+San!G271+Ref!G271</f>
        <v>47900</v>
      </c>
      <c r="I236" s="66" t="s">
        <v>2721</v>
      </c>
    </row>
    <row r="237" spans="1:9" x14ac:dyDescent="0.35">
      <c r="A237" s="66"/>
      <c r="B237" s="66" t="s">
        <v>92</v>
      </c>
      <c r="C237" s="89">
        <f>+Cs!B272+Fin!B272+Rat!B272+MM!B272+Lib!B272+Pry!B271+Hal!B272+Cem!B272+Par!B272+EDv!C237+Str!B272+Ele!B272+Wat!B272+San!B272+Ref!B272</f>
        <v>245600</v>
      </c>
      <c r="D237" s="89">
        <f>+Cs!C272+Fin!C272+Rat!C272+MM!C272+Lib!C272+Pry!C271+Hal!C272+Cem!C272+Par!C272+EDv!D237+Str!C272+Ele!C272+Wat!C272+San!C272+Ref!C272</f>
        <v>245600</v>
      </c>
      <c r="E237" s="89">
        <f>+Cs!D272+Fin!D272+Rat!D272+MM!D272+Lib!D272+Pry!D271+Hal!D272+Cem!D272+Par!D272+EDv!E237+Str!D272+Ele!D272+Wat!D272+San!D272+Ref!D272</f>
        <v>224070.96</v>
      </c>
      <c r="F237" s="89">
        <f>+Cs!E272+Fin!E272+Rat!E272+MM!E272+Lib!E272+Pry!E271+Hal!E272+Cem!E272+Par!E272+EDv!F237+Str!E272+Ele!E272+Wat!E272+San!E272+Ref!E272</f>
        <v>238200</v>
      </c>
      <c r="G237" s="89">
        <f>+Cs!F272+Fin!F272+Rat!F272+MM!F272+Lib!F272+Pry!F271+Hal!F272+Cem!F272+Par!F272+EDv!G237+Str!F272+Ele!F272+Wat!F272+San!F272+Ref!F272</f>
        <v>253400</v>
      </c>
      <c r="H237" s="89">
        <f>+Cs!G272+Fin!G272+Rat!G272+MM!G272+Lib!G272+Pry!G271+Hal!G272+Cem!G272+Par!G272+EDv!H237+Str!G272+Ele!G272+Wat!G272+San!G272+Ref!G272</f>
        <v>269800</v>
      </c>
      <c r="I237" s="66" t="s">
        <v>2722</v>
      </c>
    </row>
    <row r="238" spans="1:9" x14ac:dyDescent="0.35">
      <c r="A238" s="66"/>
      <c r="B238" s="66" t="s">
        <v>2662</v>
      </c>
      <c r="C238" s="89" t="e">
        <f>+Cs!#REF!+Fin!#REF!+Rat!#REF!+MM!#REF!+Lib!#REF!+Pry!#REF!+Hal!#REF!+Cem!#REF!+Par!#REF!+EDv!C238+Str!#REF!+Ele!#REF!+Wat!#REF!+San!#REF!+Ref!#REF!</f>
        <v>#REF!</v>
      </c>
      <c r="D238" s="89" t="e">
        <f>+Cs!#REF!+Fin!#REF!+Rat!#REF!+MM!#REF!+Lib!#REF!+Pry!#REF!+Hal!#REF!+Cem!#REF!+Par!#REF!+EDv!D238+Str!#REF!+Ele!#REF!+Wat!#REF!+San!#REF!+Ref!#REF!</f>
        <v>#REF!</v>
      </c>
      <c r="E238" s="89" t="e">
        <f>+Cs!#REF!+Fin!#REF!+Rat!#REF!+MM!#REF!+Lib!#REF!+Pry!#REF!+Hal!#REF!+Cem!#REF!+Par!#REF!+EDv!E238+Str!#REF!+Ele!#REF!+Wat!#REF!+San!#REF!+Ref!#REF!</f>
        <v>#REF!</v>
      </c>
      <c r="F238" s="89" t="e">
        <f>+Cs!#REF!+Fin!#REF!+Rat!#REF!+MM!#REF!+Lib!#REF!+Pry!#REF!+Hal!#REF!+Cem!#REF!+Par!#REF!+EDv!F238+Str!#REF!+Ele!#REF!+Wat!#REF!+San!#REF!+Ref!#REF!</f>
        <v>#REF!</v>
      </c>
      <c r="G238" s="89" t="e">
        <f>+Cs!#REF!+Fin!#REF!+Rat!#REF!+MM!#REF!+Lib!#REF!+Pry!#REF!+Hal!#REF!+Cem!#REF!+Par!#REF!+EDv!G238+Str!#REF!+Ele!#REF!+Wat!#REF!+San!#REF!+Ref!#REF!</f>
        <v>#REF!</v>
      </c>
      <c r="H238" s="89" t="e">
        <f>+Cs!#REF!+Fin!#REF!+Rat!#REF!+MM!#REF!+Lib!#REF!+Pry!#REF!+Hal!#REF!+Cem!#REF!+Par!#REF!+EDv!H238+Str!#REF!+Ele!#REF!+Wat!#REF!+San!#REF!+Ref!#REF!</f>
        <v>#REF!</v>
      </c>
      <c r="I238" s="66" t="s">
        <v>2722</v>
      </c>
    </row>
    <row r="239" spans="1:9" x14ac:dyDescent="0.35">
      <c r="A239" s="66" t="s">
        <v>792</v>
      </c>
      <c r="B239" s="66" t="s">
        <v>2739</v>
      </c>
      <c r="C239" s="89" t="e">
        <f>+Cs!#REF!+Fin!#REF!+Rat!#REF!+MM!#REF!+Lib!#REF!+Pry!B274+Hal!#REF!+Cem!#REF!+Par!#REF!+EDv!C240+Str!#REF!+Ele!#REF!+Wat!#REF!+San!#REF!+Ref!#REF!</f>
        <v>#REF!</v>
      </c>
      <c r="D239" s="89" t="e">
        <f>+Cs!#REF!+Fin!#REF!+Rat!#REF!+MM!#REF!+Lib!#REF!+Pry!C274+Hal!#REF!+Cem!#REF!+Par!#REF!+EDv!D240+Str!#REF!+Ele!#REF!+Wat!#REF!+San!#REF!+Ref!#REF!</f>
        <v>#REF!</v>
      </c>
      <c r="E239" s="89" t="e">
        <f>+Cs!#REF!+Fin!#REF!+Rat!#REF!+MM!#REF!+Lib!#REF!+Pry!D274+Hal!#REF!+Cem!#REF!+Par!#REF!+EDv!E240+Str!#REF!+Ele!#REF!+Wat!#REF!+San!#REF!+Ref!#REF!</f>
        <v>#REF!</v>
      </c>
      <c r="F239" s="89" t="e">
        <f>+Cs!#REF!+Fin!#REF!+Rat!#REF!+MM!#REF!+Lib!#REF!+Pry!E274+Hal!#REF!+Cem!#REF!+Par!#REF!+EDv!F240+Str!#REF!+Ele!#REF!+Wat!#REF!+San!#REF!+Ref!#REF!</f>
        <v>#REF!</v>
      </c>
      <c r="G239" s="89" t="e">
        <f>+Cs!#REF!+Fin!#REF!+Rat!#REF!+MM!#REF!+Lib!#REF!+Pry!F274+Hal!#REF!+Cem!#REF!+Par!#REF!+EDv!G240+Str!#REF!+Ele!#REF!+Wat!#REF!+San!#REF!+Ref!#REF!</f>
        <v>#REF!</v>
      </c>
      <c r="H239" s="89" t="e">
        <f>+Cs!#REF!+Fin!#REF!+Rat!#REF!+MM!#REF!+Lib!#REF!+Pry!G274+Hal!#REF!+Cem!#REF!+Par!#REF!+EDv!H240+Str!#REF!+Ele!#REF!+Wat!#REF!+San!#REF!+Ref!#REF!</f>
        <v>#REF!</v>
      </c>
      <c r="I239" s="66" t="s">
        <v>2721</v>
      </c>
    </row>
    <row r="240" spans="1:9" x14ac:dyDescent="0.35">
      <c r="A240" s="66" t="s">
        <v>625</v>
      </c>
      <c r="B240" s="66" t="s">
        <v>94</v>
      </c>
      <c r="C240" s="89">
        <f>+Cs!B274+Fin!B274+Rat!B274+MM!B274+Lib!B274+Pry!B273+Hal!B274+Cem!B274+Par!B274+EDv!C239+Str!B274+Ele!B274+Wat!B274+San!B274+Ref!B274</f>
        <v>256500</v>
      </c>
      <c r="D240" s="89">
        <f>+Cs!C274+Fin!C274+Rat!C274+MM!C274+Lib!C274+Pry!C273+Hal!C274+Cem!C274+Par!C274+EDv!D239+Str!C274+Ele!C274+Wat!C274+San!C274+Ref!C274</f>
        <v>256500</v>
      </c>
      <c r="E240" s="89">
        <f>+Cs!D274+Fin!D274+Rat!D274+MM!D274+Lib!D274+Pry!D273+Hal!D274+Cem!D274+Par!D274+EDv!E239+Str!D274+Ele!D274+Wat!D274+San!D274+Ref!D274</f>
        <v>271939.94</v>
      </c>
      <c r="F240" s="89">
        <f>+Cs!E274+Fin!E274+Rat!E274+MM!E274+Lib!E274+Pry!E273+Hal!E274+Cem!E274+Par!E274+EDv!F239+Str!E274+Ele!E274+Wat!E274+San!E274+Ref!E274</f>
        <v>294000</v>
      </c>
      <c r="G240" s="89">
        <f>+Cs!F274+Fin!F274+Rat!F274+MM!F274+Lib!F274+Pry!F273+Hal!F274+Cem!F274+Par!F274+EDv!G239+Str!F274+Ele!F274+Wat!F274+San!F274+Ref!F274</f>
        <v>308100</v>
      </c>
      <c r="H240" s="89">
        <f>+Cs!G274+Fin!G274+Rat!G274+MM!G274+Lib!G274+Pry!G273+Hal!G274+Cem!G274+Par!G274+EDv!H239+Str!G274+Ele!G274+Wat!G274+San!G274+Ref!G274</f>
        <v>322900</v>
      </c>
      <c r="I240" s="66" t="s">
        <v>2722</v>
      </c>
    </row>
    <row r="241" spans="1:9" x14ac:dyDescent="0.35">
      <c r="A241" s="66" t="s">
        <v>623</v>
      </c>
      <c r="B241" s="66" t="s">
        <v>624</v>
      </c>
      <c r="C241" s="89" t="e">
        <f>+Cs!#REF!+Fin!#REF!+Rat!#REF!+MM!#REF!+Lib!#REF!+Pry!#REF!+Hal!#REF!+Cem!#REF!+Par!#REF!+EDv!C241+Str!#REF!+Ele!#REF!+Wat!#REF!+San!#REF!+Ref!#REF!</f>
        <v>#REF!</v>
      </c>
      <c r="D241" s="89" t="e">
        <f>+Cs!#REF!+Fin!#REF!+Rat!#REF!+MM!#REF!+Lib!#REF!+Pry!#REF!+Hal!#REF!+Cem!#REF!+Par!#REF!+EDv!D241+Str!#REF!+Ele!#REF!+Wat!#REF!+San!#REF!+Ref!#REF!</f>
        <v>#REF!</v>
      </c>
      <c r="E241" s="89" t="e">
        <f>+Cs!#REF!+Fin!#REF!+Rat!#REF!+MM!#REF!+Lib!#REF!+Pry!#REF!+Hal!#REF!+Cem!#REF!+Par!#REF!+EDv!E241+Str!#REF!+Ele!#REF!+Wat!#REF!+San!#REF!+Ref!#REF!</f>
        <v>#REF!</v>
      </c>
      <c r="F241" s="89" t="e">
        <f>+Cs!#REF!+Fin!#REF!+Rat!#REF!+MM!#REF!+Lib!#REF!+Pry!#REF!+Hal!#REF!+Cem!#REF!+Par!#REF!+EDv!F241+Str!#REF!+Ele!#REF!+Wat!#REF!+San!#REF!+Ref!#REF!</f>
        <v>#REF!</v>
      </c>
      <c r="G241" s="89" t="e">
        <f>+Cs!#REF!+Fin!#REF!+Rat!#REF!+MM!#REF!+Lib!#REF!+Pry!#REF!+Hal!#REF!+Cem!#REF!+Par!#REF!+EDv!G241+Str!#REF!+Ele!#REF!+Wat!#REF!+San!#REF!+Ref!#REF!</f>
        <v>#REF!</v>
      </c>
      <c r="H241" s="89" t="e">
        <f>+Cs!#REF!+Fin!#REF!+Rat!#REF!+MM!#REF!+Lib!#REF!+Pry!#REF!+Hal!#REF!+Cem!#REF!+Par!#REF!+EDv!H241+Str!#REF!+Ele!#REF!+Wat!#REF!+San!#REF!+Ref!#REF!</f>
        <v>#REF!</v>
      </c>
      <c r="I241" s="66" t="s">
        <v>2722</v>
      </c>
    </row>
    <row r="242" spans="1:9" x14ac:dyDescent="0.35">
      <c r="A242" s="66" t="s">
        <v>345</v>
      </c>
      <c r="B242" s="66" t="s">
        <v>346</v>
      </c>
      <c r="C242" s="89" t="e">
        <f>+Cs!#REF!+Fin!#REF!+Rat!#REF!+MM!#REF!+Lib!#REF!+Pry!#REF!+Hal!#REF!+Cem!#REF!+Par!#REF!+EDv!C242+Str!#REF!+Ele!#REF!+Wat!#REF!+San!#REF!+Ref!#REF!</f>
        <v>#REF!</v>
      </c>
      <c r="D242" s="89" t="e">
        <f>+Cs!#REF!+Fin!#REF!+Rat!#REF!+MM!#REF!+Lib!#REF!+Pry!#REF!+Hal!#REF!+Cem!#REF!+Par!#REF!+EDv!D242+Str!#REF!+Ele!#REF!+Wat!#REF!+San!#REF!+Ref!#REF!</f>
        <v>#REF!</v>
      </c>
      <c r="E242" s="89" t="e">
        <f>+Cs!#REF!+Fin!#REF!+Rat!#REF!+MM!#REF!+Lib!#REF!+Pry!#REF!+Hal!#REF!+Cem!#REF!+Par!#REF!+EDv!E242+Str!#REF!+Ele!#REF!+Wat!#REF!+San!#REF!+Ref!#REF!</f>
        <v>#REF!</v>
      </c>
      <c r="F242" s="89" t="e">
        <f>+Cs!#REF!+Fin!#REF!+Rat!#REF!+MM!#REF!+Lib!#REF!+Pry!#REF!+Hal!#REF!+Cem!#REF!+Par!#REF!+EDv!F242+Str!#REF!+Ele!#REF!+Wat!#REF!+San!#REF!+Ref!#REF!</f>
        <v>#REF!</v>
      </c>
      <c r="G242" s="89" t="e">
        <f>+Cs!#REF!+Fin!#REF!+Rat!#REF!+MM!#REF!+Lib!#REF!+Pry!#REF!+Hal!#REF!+Cem!#REF!+Par!#REF!+EDv!G242+Str!#REF!+Ele!#REF!+Wat!#REF!+San!#REF!+Ref!#REF!</f>
        <v>#REF!</v>
      </c>
      <c r="H242" s="89" t="e">
        <f>+Cs!#REF!+Fin!#REF!+Rat!#REF!+MM!#REF!+Lib!#REF!+Pry!#REF!+Hal!#REF!+Cem!#REF!+Par!#REF!+EDv!H242+Str!#REF!+Ele!#REF!+Wat!#REF!+San!#REF!+Ref!#REF!</f>
        <v>#REF!</v>
      </c>
      <c r="I242" s="66" t="s">
        <v>2722</v>
      </c>
    </row>
    <row r="243" spans="1:9" x14ac:dyDescent="0.35">
      <c r="A243" s="66" t="s">
        <v>666</v>
      </c>
      <c r="B243" s="66" t="s">
        <v>2651</v>
      </c>
      <c r="C243" s="89" t="e">
        <f>+Cs!B275+Fin!B275+Rat!B275+MM!B275+Lib!B275+Pry!#REF!+Hal!B275+Cem!B275+Par!B275+EDv!C243+Str!B275+Ele!B275+Wat!B275+San!B275+Ref!B275</f>
        <v>#REF!</v>
      </c>
      <c r="D243" s="89" t="e">
        <f>+Cs!C275+Fin!C275+Rat!C275+MM!C275+Lib!C275+Pry!#REF!+Hal!C275+Cem!C275+Par!C275+EDv!D243+Str!C275+Ele!C275+Wat!C275+San!C275+Ref!C275</f>
        <v>#REF!</v>
      </c>
      <c r="E243" s="89" t="e">
        <f>+Cs!D275+Fin!D275+Rat!D275+MM!D275+Lib!D275+Pry!#REF!+Hal!D275+Cem!D275+Par!D275+EDv!E243+Str!D275+Ele!D275+Wat!D275+San!D275+Ref!D275</f>
        <v>#REF!</v>
      </c>
      <c r="F243" s="89" t="e">
        <f>+Cs!E275+Fin!E275+Rat!E275+MM!E275+Lib!E275+Pry!#REF!+Hal!E275+Cem!E275+Par!E275+EDv!F243+Str!E275+Ele!E275+Wat!E275+San!E275+Ref!E275</f>
        <v>#REF!</v>
      </c>
      <c r="G243" s="89" t="e">
        <f>+Cs!F275+Fin!F275+Rat!F275+MM!F275+Lib!F275+Pry!#REF!+Hal!F275+Cem!F275+Par!F275+EDv!G243+Str!F275+Ele!F275+Wat!F275+San!F275+Ref!F275</f>
        <v>#REF!</v>
      </c>
      <c r="H243" s="89" t="e">
        <f>+Cs!G275+Fin!G275+Rat!G275+MM!G275+Lib!G275+Pry!#REF!+Hal!G275+Cem!G275+Par!G275+EDv!H243+Str!G275+Ele!G275+Wat!G275+San!G275+Ref!G275</f>
        <v>#REF!</v>
      </c>
      <c r="I243" s="66" t="s">
        <v>2722</v>
      </c>
    </row>
    <row r="244" spans="1:9" x14ac:dyDescent="0.35">
      <c r="A244" s="66" t="s">
        <v>650</v>
      </c>
      <c r="B244" s="66" t="s">
        <v>2758</v>
      </c>
      <c r="C244" s="89">
        <f>+Cs!B279+Fin!B279+Rat!B279+MM!B279+Lib!B279+Pry!B278+Hal!B279+Cem!B279+Par!B279+EDv!C246+Str!B279+Ele!B279+Wat!B279+San!B279+Ref!B279</f>
        <v>135000</v>
      </c>
      <c r="D244" s="89">
        <f>+Cs!C279+Fin!C279+Rat!C279+MM!C279+Lib!C279+Pry!C278+Hal!C279+Cem!C279+Par!C279+EDv!D246+Str!C279+Ele!C279+Wat!C279+San!C279+Ref!C279</f>
        <v>135000</v>
      </c>
      <c r="E244" s="89">
        <f>+Cs!D279+Fin!D279+Rat!D279+MM!D279+Lib!D279+Pry!D278+Hal!D279+Cem!D279+Par!D279+EDv!E246+Str!D279+Ele!D279+Wat!D279+San!D279+Ref!D279</f>
        <v>129025</v>
      </c>
      <c r="F244" s="89">
        <f>+Cs!E279+Fin!E279+Rat!E279+MM!E279+Lib!E279+Pry!E278+Hal!E279+Cem!E279+Par!E279+EDv!F246+Str!E279+Ele!E279+Wat!E279+San!E279+Ref!E279</f>
        <v>135000</v>
      </c>
      <c r="G244" s="89">
        <f>+Cs!F279+Fin!F279+Rat!F279+MM!F279+Lib!F279+Pry!F278+Hal!F279+Cem!F279+Par!F279+EDv!G246+Str!F279+Ele!F279+Wat!F279+San!F279+Ref!F279</f>
        <v>142500</v>
      </c>
      <c r="H244" s="89">
        <f>+Cs!G279+Fin!G279+Rat!G279+MM!G279+Lib!G279+Pry!G278+Hal!G279+Cem!G279+Par!G279+EDv!H246+Str!G279+Ele!G279+Wat!G279+San!G279+Ref!G279</f>
        <v>150400</v>
      </c>
      <c r="I244" s="66" t="s">
        <v>2722</v>
      </c>
    </row>
    <row r="245" spans="1:9" x14ac:dyDescent="0.35">
      <c r="A245" s="66" t="s">
        <v>849</v>
      </c>
      <c r="B245" s="66" t="s">
        <v>40</v>
      </c>
      <c r="C245" s="89">
        <f>+Cs!B276+Fin!B276+Rat!B276+MM!B276+Lib!B276+Pry!B275+Hal!B276+Cem!B276+Par!B276+EDv!C244+Str!B276+Ele!B276+Wat!B276+San!B276+Ref!B276</f>
        <v>30600</v>
      </c>
      <c r="D245" s="89">
        <f>+Cs!C276+Fin!C276+Rat!C276+MM!C276+Lib!C276+Pry!C275+Hal!C276+Cem!C276+Par!C276+EDv!D244+Str!C276+Ele!C276+Wat!C276+San!C276+Ref!C276</f>
        <v>30600</v>
      </c>
      <c r="E245" s="89">
        <f>+Cs!D276+Fin!D276+Rat!D276+MM!D276+Lib!D276+Pry!D275+Hal!D276+Cem!D276+Par!D276+EDv!E244+Str!D276+Ele!D276+Wat!D276+San!D276+Ref!D276</f>
        <v>22198.97</v>
      </c>
      <c r="F245" s="89">
        <f>+Cs!E276+Fin!E276+Rat!E276+MM!E276+Lib!E276+Pry!E275+Hal!E276+Cem!E276+Par!E276+EDv!F244+Str!E276+Ele!E276+Wat!E276+San!E276+Ref!E276</f>
        <v>28600</v>
      </c>
      <c r="G245" s="89">
        <f>+Cs!F276+Fin!F276+Rat!F276+MM!F276+Lib!F276+Pry!F275+Hal!F276+Cem!F276+Par!F276+EDv!G244+Str!F276+Ele!F276+Wat!F276+San!F276+Ref!F276</f>
        <v>30800</v>
      </c>
      <c r="H245" s="89">
        <f>+Cs!G276+Fin!G276+Rat!G276+MM!G276+Lib!G276+Pry!G275+Hal!G276+Cem!G276+Par!G276+EDv!H244+Str!G276+Ele!G276+Wat!G276+San!G276+Ref!G276</f>
        <v>33100</v>
      </c>
      <c r="I245" s="66" t="s">
        <v>2721</v>
      </c>
    </row>
    <row r="246" spans="1:9" x14ac:dyDescent="0.35">
      <c r="A246" s="66" t="s">
        <v>353</v>
      </c>
      <c r="B246" s="66" t="s">
        <v>98</v>
      </c>
      <c r="C246" s="89">
        <f>+Cs!B278+Fin!B278+Rat!B278+MM!B278+Lib!B278+Pry!B277+Hal!B278+Cem!B278+Par!B278+EDv!C245+Str!B278+Ele!B278+Wat!B278+San!B278+Ref!B278</f>
        <v>50000</v>
      </c>
      <c r="D246" s="89">
        <f>+Cs!C278+Fin!C278+Rat!C278+MM!C278+Lib!C278+Pry!C277+Hal!C278+Cem!C278+Par!C278+EDv!D245+Str!C278+Ele!C278+Wat!C278+San!C278+Ref!C278</f>
        <v>0</v>
      </c>
      <c r="E246" s="89">
        <f>+Cs!D278+Fin!D278+Rat!D278+MM!D278+Lib!D278+Pry!D277+Hal!D278+Cem!D278+Par!D278+EDv!E245+Str!D278+Ele!D278+Wat!D278+San!D278+Ref!D278</f>
        <v>0</v>
      </c>
      <c r="F246" s="89">
        <f>+Cs!E278+Fin!E278+Rat!E278+MM!E278+Lib!E278+Pry!E277+Hal!E278+Cem!E278+Par!E278+EDv!F245+Str!E278+Ele!E278+Wat!E278+San!E278+Ref!E278</f>
        <v>50000</v>
      </c>
      <c r="G246" s="89">
        <f>+Cs!F278+Fin!F278+Rat!F278+MM!F278+Lib!F278+Pry!F277+Hal!F278+Cem!F278+Par!F278+EDv!G245+Str!F278+Ele!F278+Wat!F278+San!F278+Ref!F278</f>
        <v>52800</v>
      </c>
      <c r="H246" s="89">
        <f>+Cs!G278+Fin!G278+Rat!G278+MM!G278+Lib!G278+Pry!G277+Hal!G278+Cem!G278+Par!G278+EDv!H245+Str!G278+Ele!G278+Wat!G278+San!G278+Ref!G278</f>
        <v>55800</v>
      </c>
      <c r="I246" s="66" t="s">
        <v>2722</v>
      </c>
    </row>
    <row r="247" spans="1:9" x14ac:dyDescent="0.35">
      <c r="A247" s="66" t="s">
        <v>59</v>
      </c>
      <c r="B247" s="66" t="s">
        <v>60</v>
      </c>
      <c r="C247" s="89" t="e">
        <f>+Cs!#REF!+Fin!#REF!+Rat!#REF!+MM!#REF!+Lib!#REF!+Pry!#REF!+Hal!#REF!+Cem!#REF!+Par!#REF!+EDv!C247+Str!#REF!+Ele!#REF!+Wat!#REF!+San!#REF!+Ref!#REF!</f>
        <v>#REF!</v>
      </c>
      <c r="D247" s="89" t="e">
        <f>+Cs!#REF!+Fin!#REF!+Rat!#REF!+MM!#REF!+Lib!#REF!+Pry!#REF!+Hal!#REF!+Cem!#REF!+Par!#REF!+EDv!D247+Str!#REF!+Ele!#REF!+Wat!#REF!+San!#REF!+Ref!#REF!</f>
        <v>#REF!</v>
      </c>
      <c r="E247" s="89" t="e">
        <f>+Cs!#REF!+Fin!#REF!+Rat!#REF!+MM!#REF!+Lib!#REF!+Pry!#REF!+Hal!#REF!+Cem!#REF!+Par!#REF!+EDv!E247+Str!#REF!+Ele!#REF!+Wat!#REF!+San!#REF!+Ref!#REF!</f>
        <v>#REF!</v>
      </c>
      <c r="F247" s="89" t="e">
        <f>+Cs!#REF!+Fin!#REF!+Rat!#REF!+MM!#REF!+Lib!#REF!+Pry!#REF!+Hal!#REF!+Cem!#REF!+Par!#REF!+EDv!F247+Str!#REF!+Ele!#REF!+Wat!#REF!+San!#REF!+Ref!#REF!</f>
        <v>#REF!</v>
      </c>
      <c r="G247" s="89" t="e">
        <f>+Cs!#REF!+Fin!#REF!+Rat!#REF!+MM!#REF!+Lib!#REF!+Pry!#REF!+Hal!#REF!+Cem!#REF!+Par!#REF!+EDv!G247+Str!#REF!+Ele!#REF!+Wat!#REF!+San!#REF!+Ref!#REF!</f>
        <v>#REF!</v>
      </c>
      <c r="H247" s="89" t="e">
        <f>+Cs!#REF!+Fin!#REF!+Rat!#REF!+MM!#REF!+Lib!#REF!+Pry!#REF!+Hal!#REF!+Cem!#REF!+Par!#REF!+EDv!H247+Str!#REF!+Ele!#REF!+Wat!#REF!+San!#REF!+Ref!#REF!</f>
        <v>#REF!</v>
      </c>
      <c r="I247" s="66" t="s">
        <v>2722</v>
      </c>
    </row>
    <row r="248" spans="1:9" x14ac:dyDescent="0.35">
      <c r="A248" s="66" t="s">
        <v>833</v>
      </c>
      <c r="B248" s="66" t="s">
        <v>44</v>
      </c>
      <c r="C248" s="89">
        <f>+Cs!B282+Fin!B282+Rat!B282+MM!B282+Lib!B282+Pry!B281+Hal!B282+Cem!B282+Par!B282+EDv!C248+Str!B282+Ele!B282+Wat!B282+San!B282+Ref!B282</f>
        <v>50000</v>
      </c>
      <c r="D248" s="89">
        <f>+Cs!C282+Fin!C282+Rat!C282+MM!C282+Lib!C282+Pry!C281+Hal!C282+Cem!C282+Par!C282+EDv!D248+Str!C282+Ele!C282+Wat!C282+San!C282+Ref!C282</f>
        <v>50000</v>
      </c>
      <c r="E248" s="89">
        <f>+Cs!D282+Fin!D282+Rat!D282+MM!D282+Lib!D282+Pry!D281+Hal!D282+Cem!D282+Par!D282+EDv!E248+Str!D282+Ele!D282+Wat!D282+San!D282+Ref!D282</f>
        <v>42156</v>
      </c>
      <c r="F248" s="89">
        <f>+Cs!E282+Fin!E282+Rat!E282+MM!E282+Lib!E282+Pry!E281+Hal!E282+Cem!E282+Par!E282+EDv!F248+Str!E282+Ele!E282+Wat!E282+San!E282+Ref!E282</f>
        <v>50000</v>
      </c>
      <c r="G248" s="89">
        <f>+Cs!F282+Fin!F282+Rat!F282+MM!F282+Lib!F282+Pry!F281+Hal!F282+Cem!F282+Par!F282+EDv!G248+Str!F282+Ele!F282+Wat!F282+San!F282+Ref!F282</f>
        <v>50000</v>
      </c>
      <c r="H248" s="89">
        <f>+Cs!G282+Fin!G282+Rat!G282+MM!G282+Lib!G282+Pry!G281+Hal!G282+Cem!G282+Par!G282+EDv!H248+Str!G282+Ele!G282+Wat!G282+San!G282+Ref!G282</f>
        <v>50000</v>
      </c>
      <c r="I248" s="66" t="s">
        <v>2721</v>
      </c>
    </row>
    <row r="249" spans="1:9" x14ac:dyDescent="0.35">
      <c r="A249" s="66" t="s">
        <v>109</v>
      </c>
      <c r="B249" s="66" t="s">
        <v>110</v>
      </c>
      <c r="C249" s="89" t="e">
        <f>+Cs!#REF!+Fin!#REF!+Rat!#REF!+MM!#REF!+Lib!#REF!+Pry!#REF!+Hal!#REF!+Cem!#REF!+Par!#REF!+EDv!C249+Str!#REF!+Ele!#REF!+Wat!#REF!+San!#REF!+Ref!#REF!</f>
        <v>#REF!</v>
      </c>
      <c r="D249" s="89" t="e">
        <f>+Cs!#REF!+Fin!#REF!+Rat!#REF!+MM!#REF!+Lib!#REF!+Pry!#REF!+Hal!#REF!+Cem!#REF!+Par!#REF!+EDv!D249+Str!#REF!+Ele!#REF!+Wat!#REF!+San!#REF!+Ref!#REF!</f>
        <v>#REF!</v>
      </c>
      <c r="E249" s="89" t="e">
        <f>+Cs!#REF!+Fin!#REF!+Rat!#REF!+MM!#REF!+Lib!#REF!+Pry!#REF!+Hal!#REF!+Cem!#REF!+Par!#REF!+EDv!E249+Str!#REF!+Ele!#REF!+Wat!#REF!+San!#REF!+Ref!#REF!</f>
        <v>#REF!</v>
      </c>
      <c r="F249" s="89" t="e">
        <f>+Cs!#REF!+Fin!#REF!+Rat!#REF!+MM!#REF!+Lib!#REF!+Pry!#REF!+Hal!#REF!+Cem!#REF!+Par!#REF!+EDv!F249+Str!#REF!+Ele!#REF!+Wat!#REF!+San!#REF!+Ref!#REF!</f>
        <v>#REF!</v>
      </c>
      <c r="G249" s="89" t="e">
        <f>+Cs!#REF!+Fin!#REF!+Rat!#REF!+MM!#REF!+Lib!#REF!+Pry!#REF!+Hal!#REF!+Cem!#REF!+Par!#REF!+EDv!G249+Str!#REF!+Ele!#REF!+Wat!#REF!+San!#REF!+Ref!#REF!</f>
        <v>#REF!</v>
      </c>
      <c r="H249" s="89" t="e">
        <f>+Cs!#REF!+Fin!#REF!+Rat!#REF!+MM!#REF!+Lib!#REF!+Pry!#REF!+Hal!#REF!+Cem!#REF!+Par!#REF!+EDv!H249+Str!#REF!+Ele!#REF!+Wat!#REF!+San!#REF!+Ref!#REF!</f>
        <v>#REF!</v>
      </c>
      <c r="I249" s="66" t="s">
        <v>2722</v>
      </c>
    </row>
    <row r="250" spans="1:9" x14ac:dyDescent="0.35">
      <c r="A250" s="66" t="s">
        <v>620</v>
      </c>
      <c r="B250" s="66" t="s">
        <v>621</v>
      </c>
      <c r="C250" s="89" t="e">
        <f>+Cs!#REF!+Fin!#REF!+Rat!#REF!+MM!#REF!+Lib!#REF!+Pry!#REF!+Hal!#REF!+Cem!#REF!+Par!#REF!+EDv!C250+Str!#REF!+Ele!#REF!+Wat!#REF!+San!#REF!+Ref!#REF!</f>
        <v>#REF!</v>
      </c>
      <c r="D250" s="89" t="e">
        <f>+Cs!#REF!+Fin!#REF!+Rat!#REF!+MM!#REF!+Lib!#REF!+Pry!#REF!+Hal!#REF!+Cem!#REF!+Par!#REF!+EDv!D250+Str!#REF!+Ele!#REF!+Wat!#REF!+San!#REF!+Ref!#REF!</f>
        <v>#REF!</v>
      </c>
      <c r="E250" s="89" t="e">
        <f>+Cs!#REF!+Fin!#REF!+Rat!#REF!+MM!#REF!+Lib!#REF!+Pry!#REF!+Hal!#REF!+Cem!#REF!+Par!#REF!+EDv!E250+Str!#REF!+Ele!#REF!+Wat!#REF!+San!#REF!+Ref!#REF!</f>
        <v>#REF!</v>
      </c>
      <c r="F250" s="89" t="e">
        <f>+Cs!#REF!+Fin!#REF!+Rat!#REF!+MM!#REF!+Lib!#REF!+Pry!#REF!+Hal!#REF!+Cem!#REF!+Par!#REF!+EDv!F250+Str!#REF!+Ele!#REF!+Wat!#REF!+San!#REF!+Ref!#REF!</f>
        <v>#REF!</v>
      </c>
      <c r="G250" s="89" t="e">
        <f>+Cs!#REF!+Fin!#REF!+Rat!#REF!+MM!#REF!+Lib!#REF!+Pry!#REF!+Hal!#REF!+Cem!#REF!+Par!#REF!+EDv!G250+Str!#REF!+Ele!#REF!+Wat!#REF!+San!#REF!+Ref!#REF!</f>
        <v>#REF!</v>
      </c>
      <c r="H250" s="89" t="e">
        <f>+Cs!#REF!+Fin!#REF!+Rat!#REF!+MM!#REF!+Lib!#REF!+Pry!#REF!+Hal!#REF!+Cem!#REF!+Par!#REF!+EDv!H250+Str!#REF!+Ele!#REF!+Wat!#REF!+San!#REF!+Ref!#REF!</f>
        <v>#REF!</v>
      </c>
      <c r="I250" s="66" t="s">
        <v>2722</v>
      </c>
    </row>
    <row r="251" spans="1:9" x14ac:dyDescent="0.35">
      <c r="A251" s="66" t="s">
        <v>618</v>
      </c>
      <c r="B251" s="66" t="s">
        <v>619</v>
      </c>
      <c r="C251" s="89" t="e">
        <f>+Cs!#REF!+Fin!#REF!+Rat!#REF!+MM!#REF!+Lib!#REF!+Pry!#REF!+Hal!#REF!+Cem!#REF!+Par!#REF!+EDv!C251+Str!#REF!+Ele!#REF!+Wat!#REF!+San!#REF!+Ref!#REF!</f>
        <v>#REF!</v>
      </c>
      <c r="D251" s="89" t="e">
        <f>+Cs!#REF!+Fin!#REF!+Rat!#REF!+MM!#REF!+Lib!#REF!+Pry!#REF!+Hal!#REF!+Cem!#REF!+Par!#REF!+EDv!D251+Str!#REF!+Ele!#REF!+Wat!#REF!+San!#REF!+Ref!#REF!</f>
        <v>#REF!</v>
      </c>
      <c r="E251" s="89" t="e">
        <f>+Cs!#REF!+Fin!#REF!+Rat!#REF!+MM!#REF!+Lib!#REF!+Pry!#REF!+Hal!#REF!+Cem!#REF!+Par!#REF!+EDv!E251+Str!#REF!+Ele!#REF!+Wat!#REF!+San!#REF!+Ref!#REF!</f>
        <v>#REF!</v>
      </c>
      <c r="F251" s="89" t="e">
        <f>+Cs!#REF!+Fin!#REF!+Rat!#REF!+MM!#REF!+Lib!#REF!+Pry!#REF!+Hal!#REF!+Cem!#REF!+Par!#REF!+EDv!F251+Str!#REF!+Ele!#REF!+Wat!#REF!+San!#REF!+Ref!#REF!</f>
        <v>#REF!</v>
      </c>
      <c r="G251" s="89" t="e">
        <f>+Cs!#REF!+Fin!#REF!+Rat!#REF!+MM!#REF!+Lib!#REF!+Pry!#REF!+Hal!#REF!+Cem!#REF!+Par!#REF!+EDv!G251+Str!#REF!+Ele!#REF!+Wat!#REF!+San!#REF!+Ref!#REF!</f>
        <v>#REF!</v>
      </c>
      <c r="H251" s="89" t="e">
        <f>+Cs!#REF!+Fin!#REF!+Rat!#REF!+MM!#REF!+Lib!#REF!+Pry!#REF!+Hal!#REF!+Cem!#REF!+Par!#REF!+EDv!H251+Str!#REF!+Ele!#REF!+Wat!#REF!+San!#REF!+Ref!#REF!</f>
        <v>#REF!</v>
      </c>
      <c r="I251" s="66" t="s">
        <v>2722</v>
      </c>
    </row>
    <row r="252" spans="1:9" x14ac:dyDescent="0.35">
      <c r="A252" s="66" t="s">
        <v>302</v>
      </c>
      <c r="B252" s="66" t="s">
        <v>303</v>
      </c>
      <c r="C252" s="89" t="e">
        <f>+Cs!#REF!+Fin!#REF!+Rat!#REF!+MM!#REF!+Lib!#REF!+Pry!#REF!+Hal!#REF!+Cem!#REF!+Par!#REF!+EDv!C252+Str!#REF!+Ele!#REF!+Wat!#REF!+San!#REF!+Ref!#REF!</f>
        <v>#REF!</v>
      </c>
      <c r="D252" s="89" t="e">
        <f>+Cs!#REF!+Fin!#REF!+Rat!#REF!+MM!#REF!+Lib!#REF!+Pry!#REF!+Hal!#REF!+Cem!#REF!+Par!#REF!+EDv!D252+Str!#REF!+Ele!#REF!+Wat!#REF!+San!#REF!+Ref!#REF!</f>
        <v>#REF!</v>
      </c>
      <c r="E252" s="89" t="e">
        <f>+Cs!#REF!+Fin!#REF!+Rat!#REF!+MM!#REF!+Lib!#REF!+Pry!#REF!+Hal!#REF!+Cem!#REF!+Par!#REF!+EDv!E252+Str!#REF!+Ele!#REF!+Wat!#REF!+San!#REF!+Ref!#REF!</f>
        <v>#REF!</v>
      </c>
      <c r="F252" s="89" t="e">
        <f>+Cs!#REF!+Fin!#REF!+Rat!#REF!+MM!#REF!+Lib!#REF!+Pry!#REF!+Hal!#REF!+Cem!#REF!+Par!#REF!+EDv!F252+Str!#REF!+Ele!#REF!+Wat!#REF!+San!#REF!+Ref!#REF!</f>
        <v>#REF!</v>
      </c>
      <c r="G252" s="89" t="e">
        <f>+Cs!#REF!+Fin!#REF!+Rat!#REF!+MM!#REF!+Lib!#REF!+Pry!#REF!+Hal!#REF!+Cem!#REF!+Par!#REF!+EDv!G252+Str!#REF!+Ele!#REF!+Wat!#REF!+San!#REF!+Ref!#REF!</f>
        <v>#REF!</v>
      </c>
      <c r="H252" s="89" t="e">
        <f>+Cs!#REF!+Fin!#REF!+Rat!#REF!+MM!#REF!+Lib!#REF!+Pry!#REF!+Hal!#REF!+Cem!#REF!+Par!#REF!+EDv!H252+Str!#REF!+Ele!#REF!+Wat!#REF!+San!#REF!+Ref!#REF!</f>
        <v>#REF!</v>
      </c>
      <c r="I252" s="66" t="s">
        <v>2722</v>
      </c>
    </row>
    <row r="253" spans="1:9" x14ac:dyDescent="0.35">
      <c r="A253" s="66" t="s">
        <v>83</v>
      </c>
      <c r="B253" s="66" t="s">
        <v>84</v>
      </c>
      <c r="C253" s="89">
        <f>+Cs!B283+Fin!B283+Rat!B283+MM!B283+Lib!B283+Pry!B282+Hal!B283+Cem!B283+Par!B283+EDv!C253+Str!B283+Ele!B283+Wat!B283+San!B283+Ref!B283</f>
        <v>0</v>
      </c>
      <c r="D253" s="89">
        <f>+Cs!C283+Fin!C283+Rat!C283+MM!C283+Lib!C283+Pry!C282+Hal!C283+Cem!C283+Par!C283+EDv!D253+Str!C283+Ele!C283+Wat!C283+San!C283+Ref!C283</f>
        <v>0</v>
      </c>
      <c r="E253" s="89">
        <f>+Cs!D283+Fin!D283+Rat!D283+MM!D283+Lib!D283+Pry!D282+Hal!D283+Cem!D283+Par!D283+EDv!E253+Str!D283+Ele!D283+Wat!D283+San!D283+Ref!D283</f>
        <v>0</v>
      </c>
      <c r="F253" s="89">
        <f>+Cs!E283+Fin!E283+Rat!E283+MM!E283+Lib!E283+Pry!E282+Hal!E283+Cem!E283+Par!E283+EDv!F253+Str!E283+Ele!E283+Wat!E283+San!E283+Ref!E283</f>
        <v>0</v>
      </c>
      <c r="G253" s="89">
        <f>+Cs!F283+Fin!F283+Rat!F283+MM!F283+Lib!F283+Pry!F282+Hal!F283+Cem!F283+Par!F283+EDv!G253+Str!F283+Ele!F283+Wat!F283+San!F283+Ref!F283</f>
        <v>0</v>
      </c>
      <c r="H253" s="89">
        <f>+Cs!G283+Fin!G283+Rat!G283+MM!G283+Lib!G283+Pry!G282+Hal!G283+Cem!G283+Par!G283+EDv!H253+Str!G283+Ele!G283+Wat!G283+San!G283+Ref!G283</f>
        <v>0</v>
      </c>
      <c r="I253" s="66" t="s">
        <v>2722</v>
      </c>
    </row>
    <row r="254" spans="1:9" x14ac:dyDescent="0.35">
      <c r="A254" s="66" t="s">
        <v>740</v>
      </c>
      <c r="B254" s="66" t="s">
        <v>741</v>
      </c>
      <c r="C254" s="89" t="e">
        <f>+Cs!#REF!+Fin!#REF!+Rat!#REF!+MM!#REF!+Lib!#REF!+Pry!#REF!+Hal!#REF!+Cem!#REF!+Par!#REF!+EDv!C254+Str!#REF!+Ele!#REF!+Wat!#REF!+San!#REF!+Ref!#REF!</f>
        <v>#REF!</v>
      </c>
      <c r="D254" s="89" t="e">
        <f>+Cs!#REF!+Fin!#REF!+Rat!#REF!+MM!#REF!+Lib!#REF!+Pry!#REF!+Hal!#REF!+Cem!#REF!+Par!#REF!+EDv!D254+Str!#REF!+Ele!#REF!+Wat!#REF!+San!#REF!+Ref!#REF!</f>
        <v>#REF!</v>
      </c>
      <c r="E254" s="89" t="e">
        <f>+Cs!#REF!+Fin!#REF!+Rat!#REF!+MM!#REF!+Lib!#REF!+Pry!#REF!+Hal!#REF!+Cem!#REF!+Par!#REF!+EDv!E254+Str!#REF!+Ele!#REF!+Wat!#REF!+San!#REF!+Ref!#REF!</f>
        <v>#REF!</v>
      </c>
      <c r="F254" s="89" t="e">
        <f>+Cs!#REF!+Fin!#REF!+Rat!#REF!+MM!#REF!+Lib!#REF!+Pry!#REF!+Hal!#REF!+Cem!#REF!+Par!#REF!+EDv!F254+Str!#REF!+Ele!#REF!+Wat!#REF!+San!#REF!+Ref!#REF!</f>
        <v>#REF!</v>
      </c>
      <c r="G254" s="89" t="e">
        <f>+Cs!#REF!+Fin!#REF!+Rat!#REF!+MM!#REF!+Lib!#REF!+Pry!#REF!+Hal!#REF!+Cem!#REF!+Par!#REF!+EDv!G254+Str!#REF!+Ele!#REF!+Wat!#REF!+San!#REF!+Ref!#REF!</f>
        <v>#REF!</v>
      </c>
      <c r="H254" s="89" t="e">
        <f>+Cs!#REF!+Fin!#REF!+Rat!#REF!+MM!#REF!+Lib!#REF!+Pry!#REF!+Hal!#REF!+Cem!#REF!+Par!#REF!+EDv!H254+Str!#REF!+Ele!#REF!+Wat!#REF!+San!#REF!+Ref!#REF!</f>
        <v>#REF!</v>
      </c>
      <c r="I254" s="66" t="s">
        <v>2722</v>
      </c>
    </row>
    <row r="255" spans="1:9" x14ac:dyDescent="0.35">
      <c r="A255" s="66"/>
      <c r="B255" s="66" t="s">
        <v>2655</v>
      </c>
      <c r="C255" s="89">
        <f>+Cs!B284+Fin!B284+Rat!B284+MM!B284+Lib!B284+Pry!B283+Hal!B284+Cem!B284+Par!B284+EDv!C255+Str!B284+Ele!B284+Wat!B284+San!B284+Ref!B284</f>
        <v>280000</v>
      </c>
      <c r="D255" s="89">
        <f>+Cs!C284+Fin!C284+Rat!C284+MM!C284+Lib!C284+Pry!C283+Hal!C284+Cem!C284+Par!C284+EDv!D255+Str!C284+Ele!C284+Wat!C284+San!C284+Ref!C284</f>
        <v>220000</v>
      </c>
      <c r="E255" s="89">
        <f>+Cs!D284+Fin!D284+Rat!D284+MM!D284+Lib!D284+Pry!D283+Hal!D284+Cem!D284+Par!D284+EDv!E255+Str!D284+Ele!D284+Wat!D284+San!D284+Ref!D284</f>
        <v>214500</v>
      </c>
      <c r="F255" s="89">
        <f>+Cs!E284+Fin!E284+Rat!E284+MM!E284+Lib!E284+Pry!E283+Hal!E284+Cem!E284+Par!E284+EDv!F255+Str!E284+Ele!E284+Wat!E284+San!E284+Ref!E284</f>
        <v>280000</v>
      </c>
      <c r="G255" s="89">
        <f>+Cs!F284+Fin!F284+Rat!F284+MM!F284+Lib!F284+Pry!F283+Hal!F284+Cem!F284+Par!F284+EDv!G255+Str!F284+Ele!F284+Wat!F284+San!F284+Ref!F284</f>
        <v>280000</v>
      </c>
      <c r="H255" s="89">
        <f>+Cs!G284+Fin!G284+Rat!G284+MM!G284+Lib!G284+Pry!G283+Hal!G284+Cem!G284+Par!G284+EDv!H255+Str!G284+Ele!G284+Wat!G284+San!G284+Ref!G284</f>
        <v>280000</v>
      </c>
      <c r="I255" s="66" t="s">
        <v>2722</v>
      </c>
    </row>
    <row r="256" spans="1:9" x14ac:dyDescent="0.35">
      <c r="A256" s="66" t="s">
        <v>633</v>
      </c>
      <c r="B256" s="66" t="s">
        <v>634</v>
      </c>
      <c r="C256" s="89" t="e">
        <f>+Cs!#REF!+Fin!#REF!+Rat!#REF!+MM!#REF!+Lib!#REF!+Pry!#REF!+Hal!#REF!+Cem!#REF!+Par!#REF!+EDv!C256+Str!#REF!+Ele!#REF!+Wat!#REF!+San!#REF!+Ref!#REF!</f>
        <v>#REF!</v>
      </c>
      <c r="D256" s="89" t="e">
        <f>+Cs!#REF!+Fin!#REF!+Rat!#REF!+MM!#REF!+Lib!#REF!+Pry!#REF!+Hal!#REF!+Cem!#REF!+Par!#REF!+EDv!D256+Str!#REF!+Ele!#REF!+Wat!#REF!+San!#REF!+Ref!#REF!</f>
        <v>#REF!</v>
      </c>
      <c r="E256" s="89" t="e">
        <f>+Cs!#REF!+Fin!#REF!+Rat!#REF!+MM!#REF!+Lib!#REF!+Pry!#REF!+Hal!#REF!+Cem!#REF!+Par!#REF!+EDv!E256+Str!#REF!+Ele!#REF!+Wat!#REF!+San!#REF!+Ref!#REF!</f>
        <v>#REF!</v>
      </c>
      <c r="F256" s="89" t="e">
        <f>+Cs!#REF!+Fin!#REF!+Rat!#REF!+MM!#REF!+Lib!#REF!+Pry!#REF!+Hal!#REF!+Cem!#REF!+Par!#REF!+EDv!F256+Str!#REF!+Ele!#REF!+Wat!#REF!+San!#REF!+Ref!#REF!</f>
        <v>#REF!</v>
      </c>
      <c r="G256" s="89" t="e">
        <f>+Cs!#REF!+Fin!#REF!+Rat!#REF!+MM!#REF!+Lib!#REF!+Pry!#REF!+Hal!#REF!+Cem!#REF!+Par!#REF!+EDv!G256+Str!#REF!+Ele!#REF!+Wat!#REF!+San!#REF!+Ref!#REF!</f>
        <v>#REF!</v>
      </c>
      <c r="H256" s="89" t="e">
        <f>+Cs!#REF!+Fin!#REF!+Rat!#REF!+MM!#REF!+Lib!#REF!+Pry!#REF!+Hal!#REF!+Cem!#REF!+Par!#REF!+EDv!H256+Str!#REF!+Ele!#REF!+Wat!#REF!+San!#REF!+Ref!#REF!</f>
        <v>#REF!</v>
      </c>
      <c r="I256" s="66" t="s">
        <v>2722</v>
      </c>
    </row>
    <row r="257" spans="1:9" x14ac:dyDescent="0.35">
      <c r="A257" s="66" t="s">
        <v>61</v>
      </c>
      <c r="B257" s="66" t="s">
        <v>62</v>
      </c>
      <c r="C257" s="89">
        <f>+Cs!B285+Fin!B285+Rat!B285+MM!B285+Lib!B285+Pry!B284+Hal!B285+Cem!B285+Par!B285+EDv!C257+Str!B285+Ele!B285+Wat!B285+San!B285+Ref!B285</f>
        <v>312000</v>
      </c>
      <c r="D257" s="89">
        <f>+Cs!C285+Fin!C285+Rat!C285+MM!C285+Lib!C285+Pry!C284+Hal!C285+Cem!C285+Par!C285+EDv!D257+Str!C285+Ele!C285+Wat!C285+San!C285+Ref!C285</f>
        <v>112000</v>
      </c>
      <c r="E257" s="89">
        <f>+Cs!D285+Fin!D285+Rat!D285+MM!D285+Lib!D285+Pry!D284+Hal!D285+Cem!D285+Par!D285+EDv!E257+Str!D285+Ele!D285+Wat!D285+San!D285+Ref!D285</f>
        <v>265953.51</v>
      </c>
      <c r="F257" s="89">
        <f>+Cs!E285+Fin!E285+Rat!E285+MM!E285+Lib!E285+Pry!E284+Hal!E285+Cem!E285+Par!E285+EDv!F257+Str!E285+Ele!E285+Wat!E285+San!E285+Ref!E285</f>
        <v>312000</v>
      </c>
      <c r="G257" s="89">
        <f>+Cs!F285+Fin!F285+Rat!F285+MM!F285+Lib!F285+Pry!F284+Hal!F285+Cem!F285+Par!F285+EDv!G257+Str!F285+Ele!F285+Wat!F285+San!F285+Ref!F285</f>
        <v>330500</v>
      </c>
      <c r="H257" s="89">
        <f>+Cs!G285+Fin!G285+Rat!G285+MM!G285+Lib!G285+Pry!G284+Hal!G285+Cem!G285+Par!G285+EDv!H257+Str!G285+Ele!G285+Wat!G285+San!G285+Ref!G285</f>
        <v>350000</v>
      </c>
      <c r="I257" s="66" t="s">
        <v>2722</v>
      </c>
    </row>
    <row r="258" spans="1:9" x14ac:dyDescent="0.35">
      <c r="A258" s="66" t="s">
        <v>2605</v>
      </c>
      <c r="B258" s="66" t="s">
        <v>2659</v>
      </c>
      <c r="C258" s="89">
        <f>+Cs!B286+Fin!B286+Rat!B286+MM!B286+Lib!B286+Pry!B285+Hal!B286+Cem!B286+Par!B286+EDv!C258+Str!B286+Ele!B286+Wat!B286+San!B286+Ref!B286</f>
        <v>45000</v>
      </c>
      <c r="D258" s="89">
        <f>+Cs!C286+Fin!C286+Rat!C286+MM!C286+Lib!C286+Pry!C285+Hal!C286+Cem!C286+Par!C286+EDv!D258+Str!C286+Ele!C286+Wat!C286+San!C286+Ref!C286</f>
        <v>45000</v>
      </c>
      <c r="E258" s="89">
        <f>+Cs!D286+Fin!D286+Rat!D286+MM!D286+Lib!D286+Pry!D285+Hal!D286+Cem!D286+Par!D286+EDv!E258+Str!D286+Ele!D286+Wat!D286+San!D286+Ref!D286</f>
        <v>36456.28</v>
      </c>
      <c r="F258" s="89">
        <f>+Cs!E286+Fin!E286+Rat!E286+MM!E286+Lib!E286+Pry!E285+Hal!E286+Cem!E286+Par!E286+EDv!F258+Str!E286+Ele!E286+Wat!E286+San!E286+Ref!E286</f>
        <v>45000</v>
      </c>
      <c r="G258" s="89">
        <f>+Cs!F286+Fin!F286+Rat!F286+MM!F286+Lib!F286+Pry!F285+Hal!F286+Cem!F286+Par!F286+EDv!G258+Str!F286+Ele!F286+Wat!F286+San!F286+Ref!F286</f>
        <v>47500</v>
      </c>
      <c r="H258" s="89">
        <f>+Cs!G286+Fin!G286+Rat!G286+MM!G286+Lib!G286+Pry!G285+Hal!G286+Cem!G286+Par!G286+EDv!H258+Str!G286+Ele!G286+Wat!G286+San!G286+Ref!G286</f>
        <v>50100</v>
      </c>
      <c r="I258" s="66" t="s">
        <v>2722</v>
      </c>
    </row>
    <row r="259" spans="1:9" x14ac:dyDescent="0.35">
      <c r="A259" s="66" t="s">
        <v>795</v>
      </c>
      <c r="B259" s="66" t="s">
        <v>796</v>
      </c>
      <c r="C259" s="89">
        <f>+Cs!B287+Fin!B287+Rat!B287+MM!B287+Lib!B287+Pry!B286+Hal!B287+Cem!B287+Par!B287+EDv!C259+Str!B287+Ele!B287+Wat!B287+San!B287+Ref!B287</f>
        <v>0</v>
      </c>
      <c r="D259" s="89">
        <f>+Cs!C287+Fin!C287+Rat!C287+MM!C287+Lib!C287+Pry!C286+Hal!C287+Cem!C287+Par!C287+EDv!D259+Str!C287+Ele!C287+Wat!C287+San!C287+Ref!C287</f>
        <v>0</v>
      </c>
      <c r="E259" s="89">
        <f>+Cs!D287+Fin!D287+Rat!D287+MM!D287+Lib!D287+Pry!D286+Hal!D287+Cem!D287+Par!D287+EDv!E259+Str!D287+Ele!D287+Wat!D287+San!D287+Ref!D287</f>
        <v>0</v>
      </c>
      <c r="F259" s="89">
        <f>+Cs!E287+Fin!E287+Rat!E287+MM!E287+Lib!E287+Pry!E286+Hal!E287+Cem!E287+Par!E287+EDv!F259+Str!E287+Ele!E287+Wat!E287+San!E287+Ref!E287</f>
        <v>0</v>
      </c>
      <c r="G259" s="89">
        <f>+Cs!F287+Fin!F287+Rat!F287+MM!F287+Lib!F287+Pry!F286+Hal!F287+Cem!F287+Par!F287+EDv!G259+Str!F287+Ele!F287+Wat!F287+San!F287+Ref!F287</f>
        <v>10000000</v>
      </c>
      <c r="H259" s="89">
        <f>+Cs!G287+Fin!G287+Rat!G287+MM!G287+Lib!G287+Pry!G286+Hal!G287+Cem!G287+Par!G287+EDv!H259+Str!G287+Ele!G287+Wat!G287+San!G287+Ref!G287</f>
        <v>0</v>
      </c>
      <c r="I259" s="66" t="s">
        <v>2722</v>
      </c>
    </row>
    <row r="260" spans="1:9" x14ac:dyDescent="0.35">
      <c r="A260" s="66" t="s">
        <v>602</v>
      </c>
      <c r="B260" s="66" t="s">
        <v>603</v>
      </c>
      <c r="C260" s="89" t="e">
        <f>+Cs!#REF!+Fin!#REF!+Rat!#REF!+MM!#REF!+Lib!#REF!+Pry!#REF!+Hal!#REF!+Cem!#REF!+Par!#REF!+EDv!C260+Str!#REF!+Ele!#REF!+Wat!#REF!+San!#REF!+Ref!#REF!</f>
        <v>#REF!</v>
      </c>
      <c r="D260" s="89" t="e">
        <f>+Cs!#REF!+Fin!#REF!+Rat!#REF!+MM!#REF!+Lib!#REF!+Pry!#REF!+Hal!#REF!+Cem!#REF!+Par!#REF!+EDv!D260+Str!#REF!+Ele!#REF!+Wat!#REF!+San!#REF!+Ref!#REF!</f>
        <v>#REF!</v>
      </c>
      <c r="E260" s="89" t="e">
        <f>+Cs!#REF!+Fin!#REF!+Rat!#REF!+MM!#REF!+Lib!#REF!+Pry!#REF!+Hal!#REF!+Cem!#REF!+Par!#REF!+EDv!E260+Str!#REF!+Ele!#REF!+Wat!#REF!+San!#REF!+Ref!#REF!</f>
        <v>#REF!</v>
      </c>
      <c r="F260" s="89" t="e">
        <f>+Cs!#REF!+Fin!#REF!+Rat!#REF!+MM!#REF!+Lib!#REF!+Pry!#REF!+Hal!#REF!+Cem!#REF!+Par!#REF!+EDv!F260+Str!#REF!+Ele!#REF!+Wat!#REF!+San!#REF!+Ref!#REF!</f>
        <v>#REF!</v>
      </c>
      <c r="G260" s="89" t="e">
        <f>+Cs!#REF!+Fin!#REF!+Rat!#REF!+MM!#REF!+Lib!#REF!+Pry!#REF!+Hal!#REF!+Cem!#REF!+Par!#REF!+EDv!G260+Str!#REF!+Ele!#REF!+Wat!#REF!+San!#REF!+Ref!#REF!</f>
        <v>#REF!</v>
      </c>
      <c r="H260" s="89" t="e">
        <f>+Cs!#REF!+Fin!#REF!+Rat!#REF!+MM!#REF!+Lib!#REF!+Pry!#REF!+Hal!#REF!+Cem!#REF!+Par!#REF!+EDv!H260+Str!#REF!+Ele!#REF!+Wat!#REF!+San!#REF!+Ref!#REF!</f>
        <v>#REF!</v>
      </c>
      <c r="I260" s="66" t="s">
        <v>2722</v>
      </c>
    </row>
    <row r="262" spans="1:9" ht="15" thickBot="1" x14ac:dyDescent="0.4">
      <c r="B262" s="117" t="s">
        <v>2546</v>
      </c>
      <c r="C262" s="112" t="e">
        <f>SUM(C102:C260)</f>
        <v>#REF!</v>
      </c>
      <c r="D262" s="112" t="e">
        <f t="shared" ref="D262:G262" si="1">SUM(D102:D260)</f>
        <v>#REF!</v>
      </c>
      <c r="E262" s="112" t="e">
        <f t="shared" si="1"/>
        <v>#REF!</v>
      </c>
      <c r="F262" s="112" t="e">
        <f t="shared" si="1"/>
        <v>#REF!</v>
      </c>
      <c r="G262" s="112" t="e">
        <f t="shared" si="1"/>
        <v>#REF!</v>
      </c>
      <c r="H262" s="112" t="e">
        <f t="shared" ref="H262" si="2">SUM(H102:H260)</f>
        <v>#REF!</v>
      </c>
    </row>
    <row r="263" spans="1:9" ht="15" thickTop="1" x14ac:dyDescent="0.35"/>
    <row r="264" spans="1:9" ht="15" thickBot="1" x14ac:dyDescent="0.4">
      <c r="B264" s="117" t="s">
        <v>2674</v>
      </c>
      <c r="C264" s="112" t="e">
        <f t="shared" ref="C264:G264" si="3">+C99+C262</f>
        <v>#REF!</v>
      </c>
      <c r="D264" s="112" t="e">
        <f t="shared" si="3"/>
        <v>#REF!</v>
      </c>
      <c r="E264" s="112" t="e">
        <f t="shared" si="3"/>
        <v>#REF!</v>
      </c>
      <c r="F264" s="112" t="e">
        <f t="shared" si="3"/>
        <v>#REF!</v>
      </c>
      <c r="G264" s="112" t="e">
        <f t="shared" si="3"/>
        <v>#REF!</v>
      </c>
      <c r="H264" s="112" t="e">
        <f t="shared" ref="H264" si="4">+H99+H262</f>
        <v>#REF!</v>
      </c>
    </row>
    <row r="265" spans="1:9" ht="15" thickTop="1" x14ac:dyDescent="0.35"/>
    <row r="267" spans="1:9" x14ac:dyDescent="0.35">
      <c r="F267" s="111"/>
    </row>
  </sheetData>
  <sortState xmlns:xlrd2="http://schemas.microsoft.com/office/spreadsheetml/2017/richdata2" ref="B102:I260">
    <sortCondition ref="B102:B260"/>
  </sortState>
  <pageMargins left="0.7" right="0.7" top="0.75" bottom="0.75" header="0.3" footer="0.3"/>
  <pageSetup scale="70" orientation="landscape" verticalDpi="360" r:id="rId1"/>
  <headerFooter>
    <oddFooter>Page 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317"/>
  <sheetViews>
    <sheetView topLeftCell="B13" zoomScale="62" zoomScaleNormal="62" workbookViewId="0">
      <selection activeCell="X22" sqref="X22"/>
    </sheetView>
  </sheetViews>
  <sheetFormatPr defaultColWidth="9.1796875" defaultRowHeight="14.5" x14ac:dyDescent="0.35"/>
  <cols>
    <col min="1" max="1" width="24.7265625" style="113" hidden="1" customWidth="1"/>
    <col min="2" max="2" width="47.81640625" style="113" customWidth="1"/>
    <col min="3" max="3" width="22" style="113" customWidth="1"/>
    <col min="4" max="4" width="20.54296875" style="113" hidden="1" customWidth="1"/>
    <col min="5" max="5" width="21.54296875" style="113" hidden="1" customWidth="1"/>
    <col min="6" max="6" width="26.54296875" style="113" hidden="1" customWidth="1"/>
    <col min="7" max="7" width="22.54296875" style="113" hidden="1" customWidth="1"/>
    <col min="8" max="8" width="24.81640625" style="113" hidden="1" customWidth="1"/>
    <col min="9" max="9" width="27.54296875" style="113" hidden="1" customWidth="1"/>
    <col min="10" max="11" width="19.7265625" style="133" hidden="1" customWidth="1"/>
    <col min="12" max="12" width="13.26953125" style="133" hidden="1" customWidth="1"/>
    <col min="13" max="13" width="25.7265625" style="113" hidden="1" customWidth="1"/>
    <col min="14" max="14" width="26.54296875" style="130" hidden="1" customWidth="1"/>
    <col min="15" max="15" width="32.453125" style="130" hidden="1" customWidth="1"/>
    <col min="16" max="16" width="49.26953125" style="130" hidden="1" customWidth="1"/>
    <col min="17" max="18" width="12.26953125" style="113" hidden="1" customWidth="1"/>
    <col min="19" max="19" width="10.54296875" style="113" hidden="1" customWidth="1"/>
    <col min="20" max="20" width="14" style="113" hidden="1" customWidth="1"/>
    <col min="21" max="21" width="12.81640625" style="145" hidden="1" customWidth="1"/>
    <col min="22" max="23" width="9.1796875" style="113" hidden="1" customWidth="1"/>
    <col min="24" max="24" width="109.453125" style="113" customWidth="1"/>
    <col min="25" max="25" width="25.7265625" style="152" customWidth="1"/>
    <col min="26" max="16384" width="9.1796875" style="113"/>
  </cols>
  <sheetData>
    <row r="1" spans="1:25" ht="30.75" customHeight="1" thickBot="1" x14ac:dyDescent="0.4">
      <c r="G1" s="118">
        <v>16</v>
      </c>
      <c r="H1" s="118"/>
      <c r="O1" s="257" t="s">
        <v>3152</v>
      </c>
      <c r="P1" s="258"/>
      <c r="Q1" s="258"/>
      <c r="R1" s="258"/>
      <c r="S1" s="258"/>
      <c r="T1" s="258"/>
      <c r="U1" s="259"/>
    </row>
    <row r="2" spans="1:25" ht="72" customHeight="1" thickBot="1" x14ac:dyDescent="0.55000000000000004">
      <c r="A2" s="120" t="s">
        <v>2538</v>
      </c>
      <c r="B2" s="120" t="s">
        <v>2804</v>
      </c>
      <c r="C2" s="109" t="s">
        <v>2601</v>
      </c>
      <c r="D2" s="121" t="s">
        <v>2764</v>
      </c>
      <c r="E2" s="109" t="s">
        <v>2765</v>
      </c>
      <c r="F2" s="109" t="s">
        <v>2754</v>
      </c>
      <c r="G2" s="109" t="s">
        <v>2817</v>
      </c>
      <c r="H2" s="109" t="s">
        <v>3402</v>
      </c>
      <c r="I2" s="109" t="s">
        <v>3068</v>
      </c>
      <c r="J2" s="134" t="s">
        <v>3058</v>
      </c>
      <c r="K2" s="134" t="s">
        <v>3073</v>
      </c>
      <c r="L2" s="134" t="s">
        <v>3072</v>
      </c>
      <c r="M2" s="136" t="s">
        <v>3149</v>
      </c>
      <c r="N2" s="141" t="s">
        <v>3147</v>
      </c>
      <c r="O2" s="141" t="s">
        <v>2539</v>
      </c>
      <c r="P2" s="141"/>
      <c r="Q2" s="136" t="s">
        <v>3148</v>
      </c>
      <c r="R2" s="136" t="s">
        <v>3154</v>
      </c>
      <c r="S2" s="143" t="s">
        <v>3159</v>
      </c>
      <c r="T2" s="142" t="s">
        <v>3151</v>
      </c>
      <c r="U2" s="144" t="s">
        <v>3150</v>
      </c>
      <c r="X2" s="137" t="s">
        <v>3152</v>
      </c>
      <c r="Y2" s="153" t="s">
        <v>3244</v>
      </c>
    </row>
    <row r="3" spans="1:25" x14ac:dyDescent="0.35">
      <c r="A3" s="122"/>
      <c r="B3" s="122"/>
      <c r="C3" s="110"/>
      <c r="D3" s="110"/>
      <c r="E3" s="110"/>
      <c r="F3" s="110"/>
      <c r="G3" s="110"/>
      <c r="H3" s="110"/>
    </row>
    <row r="4" spans="1:25" x14ac:dyDescent="0.35">
      <c r="B4" s="117" t="s">
        <v>2673</v>
      </c>
      <c r="C4" s="111"/>
      <c r="D4" s="111"/>
      <c r="E4" s="111"/>
      <c r="F4" s="111"/>
      <c r="G4" s="116"/>
      <c r="H4" s="116"/>
    </row>
    <row r="5" spans="1:25" ht="15" thickBot="1" x14ac:dyDescent="0.4">
      <c r="B5" s="117"/>
      <c r="C5" s="111"/>
      <c r="D5" s="111"/>
      <c r="E5" s="111"/>
      <c r="F5" s="111"/>
      <c r="G5" s="116"/>
      <c r="H5" s="116"/>
    </row>
    <row r="6" spans="1:25" ht="15" thickBot="1" x14ac:dyDescent="0.4">
      <c r="A6" s="101" t="s">
        <v>139</v>
      </c>
      <c r="B6" s="158" t="s">
        <v>2833</v>
      </c>
      <c r="C6" s="210">
        <v>-6000</v>
      </c>
      <c r="D6" s="159"/>
      <c r="E6" s="159"/>
      <c r="F6" s="159"/>
      <c r="G6" s="159"/>
      <c r="H6" s="159"/>
      <c r="I6" s="160" t="s">
        <v>2707</v>
      </c>
      <c r="J6" s="161" t="s">
        <v>3249</v>
      </c>
      <c r="K6" s="161" t="s">
        <v>3100</v>
      </c>
      <c r="L6" s="161" t="s">
        <v>3131</v>
      </c>
      <c r="M6" s="160" t="s">
        <v>2707</v>
      </c>
      <c r="N6" s="159">
        <v>-6000</v>
      </c>
      <c r="O6" s="160" t="s">
        <v>3142</v>
      </c>
      <c r="P6" s="160" t="s">
        <v>3258</v>
      </c>
      <c r="Q6" s="160" t="s">
        <v>3153</v>
      </c>
      <c r="R6" s="160" t="s">
        <v>3255</v>
      </c>
      <c r="S6" s="160" t="s">
        <v>3253</v>
      </c>
      <c r="T6" s="160" t="s">
        <v>3254</v>
      </c>
      <c r="U6" s="187" t="s">
        <v>3155</v>
      </c>
      <c r="V6" s="160"/>
      <c r="W6" s="160"/>
      <c r="X6" s="160" t="str">
        <f>CONCATENATE(O6,"_",P6,Q6,R6,S6,T6,U6)</f>
        <v>Other Revenue_Building Plan Fees_NC066_2017/2018_O_REV_001</v>
      </c>
      <c r="Y6" s="163" t="s">
        <v>3245</v>
      </c>
    </row>
    <row r="7" spans="1:25" ht="15" thickBot="1" x14ac:dyDescent="0.4">
      <c r="A7" s="146" t="s">
        <v>7</v>
      </c>
      <c r="B7" s="158" t="s">
        <v>2976</v>
      </c>
      <c r="C7" s="210">
        <v>-18000</v>
      </c>
      <c r="D7" s="159"/>
      <c r="E7" s="159"/>
      <c r="F7" s="159"/>
      <c r="G7" s="159"/>
      <c r="H7" s="159"/>
      <c r="I7" s="160" t="s">
        <v>2707</v>
      </c>
      <c r="J7" s="161" t="s">
        <v>3249</v>
      </c>
      <c r="K7" s="161" t="s">
        <v>3102</v>
      </c>
      <c r="L7" s="161" t="s">
        <v>3131</v>
      </c>
      <c r="M7" s="160" t="s">
        <v>2707</v>
      </c>
      <c r="N7" s="159">
        <v>-18000</v>
      </c>
      <c r="O7" s="160" t="s">
        <v>3142</v>
      </c>
      <c r="P7" s="160" t="s">
        <v>3377</v>
      </c>
      <c r="Q7" s="160" t="s">
        <v>3153</v>
      </c>
      <c r="R7" s="160" t="s">
        <v>3255</v>
      </c>
      <c r="S7" s="160" t="s">
        <v>3253</v>
      </c>
      <c r="T7" s="160" t="s">
        <v>3254</v>
      </c>
      <c r="U7" s="187" t="s">
        <v>3156</v>
      </c>
      <c r="V7" s="160"/>
      <c r="W7" s="160"/>
      <c r="X7" s="160" t="str">
        <f>CONCATENATE(O7,"_",P7,Q7,R7,S7,T7,U7)</f>
        <v>Other Revenue_Land Use Planning  Fees_NC066_2017/2018_O_REV_002</v>
      </c>
      <c r="Y7" s="163" t="s">
        <v>3245</v>
      </c>
    </row>
    <row r="8" spans="1:25" x14ac:dyDescent="0.35">
      <c r="A8" s="149" t="s">
        <v>9</v>
      </c>
      <c r="B8" s="158" t="s">
        <v>2824</v>
      </c>
      <c r="C8" s="210">
        <v>-15000</v>
      </c>
      <c r="D8" s="159"/>
      <c r="E8" s="159"/>
      <c r="F8" s="159"/>
      <c r="G8" s="159"/>
      <c r="H8" s="159"/>
      <c r="I8" s="160" t="s">
        <v>2707</v>
      </c>
      <c r="J8" s="161" t="s">
        <v>3250</v>
      </c>
      <c r="K8" s="161" t="s">
        <v>3103</v>
      </c>
      <c r="L8" s="161" t="s">
        <v>3131</v>
      </c>
      <c r="M8" s="160" t="s">
        <v>2707</v>
      </c>
      <c r="N8" s="159">
        <v>-15000</v>
      </c>
      <c r="O8" s="160" t="s">
        <v>3142</v>
      </c>
      <c r="P8" s="160" t="s">
        <v>3261</v>
      </c>
      <c r="Q8" s="160" t="s">
        <v>3153</v>
      </c>
      <c r="R8" s="160" t="s">
        <v>3255</v>
      </c>
      <c r="S8" s="160" t="s">
        <v>3253</v>
      </c>
      <c r="T8" s="160" t="s">
        <v>3254</v>
      </c>
      <c r="U8" s="187" t="s">
        <v>3157</v>
      </c>
      <c r="V8" s="160"/>
      <c r="W8" s="160"/>
      <c r="X8" s="160" t="str">
        <f>CONCATENATE(O8,"_",P8,Q8,R8,S8,T8,U8)</f>
        <v>Other Revenue_Museum, Caravan Park and Swimming Pool Fees_NC066_2017/2018_O_REV_003</v>
      </c>
      <c r="Y8" s="163" t="s">
        <v>3245</v>
      </c>
    </row>
    <row r="9" spans="1:25" x14ac:dyDescent="0.35">
      <c r="A9" s="150"/>
      <c r="B9" s="171" t="s">
        <v>2979</v>
      </c>
      <c r="C9" s="114">
        <v>-2500</v>
      </c>
      <c r="D9" s="114"/>
      <c r="E9" s="114"/>
      <c r="F9" s="114"/>
      <c r="G9" s="114"/>
      <c r="H9" s="114"/>
      <c r="I9" s="30" t="s">
        <v>2707</v>
      </c>
      <c r="J9" s="156" t="s">
        <v>3250</v>
      </c>
      <c r="K9" s="156" t="s">
        <v>3103</v>
      </c>
      <c r="L9" s="156" t="s">
        <v>3131</v>
      </c>
      <c r="M9" s="30" t="s">
        <v>2707</v>
      </c>
      <c r="N9" s="114">
        <v>-2500</v>
      </c>
      <c r="O9" s="30"/>
      <c r="P9" s="30"/>
      <c r="Q9" s="30"/>
      <c r="R9" s="30"/>
      <c r="S9" s="30"/>
      <c r="T9" s="30"/>
      <c r="U9" s="173"/>
      <c r="V9" s="189"/>
      <c r="W9" s="30"/>
      <c r="X9" s="30"/>
      <c r="Y9" s="172"/>
    </row>
    <row r="10" spans="1:25" x14ac:dyDescent="0.35">
      <c r="A10" s="150"/>
      <c r="B10" s="171" t="s">
        <v>2971</v>
      </c>
      <c r="C10" s="114">
        <v>-900</v>
      </c>
      <c r="D10" s="114"/>
      <c r="E10" s="114"/>
      <c r="F10" s="114"/>
      <c r="G10" s="114"/>
      <c r="H10" s="114"/>
      <c r="I10" s="30" t="s">
        <v>2707</v>
      </c>
      <c r="J10" s="156" t="s">
        <v>3250</v>
      </c>
      <c r="K10" s="156" t="s">
        <v>3103</v>
      </c>
      <c r="L10" s="156" t="s">
        <v>3131</v>
      </c>
      <c r="M10" s="30" t="s">
        <v>2707</v>
      </c>
      <c r="N10" s="114">
        <v>-900</v>
      </c>
      <c r="O10" s="30"/>
      <c r="P10" s="30"/>
      <c r="Q10" s="30"/>
      <c r="R10" s="30"/>
      <c r="S10" s="30"/>
      <c r="T10" s="30"/>
      <c r="U10" s="173"/>
      <c r="V10" s="30"/>
      <c r="W10" s="30"/>
      <c r="X10" s="30"/>
      <c r="Y10" s="172"/>
    </row>
    <row r="11" spans="1:25" ht="15" thickBot="1" x14ac:dyDescent="0.4">
      <c r="A11" s="151"/>
      <c r="B11" s="164" t="s">
        <v>2843</v>
      </c>
      <c r="C11" s="165">
        <v>0</v>
      </c>
      <c r="D11" s="165"/>
      <c r="E11" s="165"/>
      <c r="F11" s="165"/>
      <c r="G11" s="165"/>
      <c r="H11" s="165"/>
      <c r="I11" s="166" t="s">
        <v>2707</v>
      </c>
      <c r="J11" s="167" t="s">
        <v>3250</v>
      </c>
      <c r="K11" s="167" t="s">
        <v>3103</v>
      </c>
      <c r="L11" s="167" t="s">
        <v>3131</v>
      </c>
      <c r="M11" s="166" t="s">
        <v>2707</v>
      </c>
      <c r="N11" s="165">
        <v>0</v>
      </c>
      <c r="O11" s="166"/>
      <c r="P11" s="168"/>
      <c r="Q11" s="166"/>
      <c r="R11" s="166"/>
      <c r="S11" s="166"/>
      <c r="T11" s="166"/>
      <c r="U11" s="174"/>
      <c r="V11" s="166"/>
      <c r="W11" s="166"/>
      <c r="X11" s="166"/>
      <c r="Y11" s="170"/>
    </row>
    <row r="12" spans="1:25" ht="15" thickBot="1" x14ac:dyDescent="0.4">
      <c r="A12" s="188"/>
      <c r="B12" s="30" t="s">
        <v>2970</v>
      </c>
      <c r="C12" s="114">
        <v>-2900</v>
      </c>
      <c r="D12" s="114"/>
      <c r="E12" s="114"/>
      <c r="F12" s="114"/>
      <c r="G12" s="114"/>
      <c r="H12" s="114"/>
      <c r="I12" s="30" t="s">
        <v>2707</v>
      </c>
      <c r="J12" s="156" t="s">
        <v>3248</v>
      </c>
      <c r="K12" s="156" t="s">
        <v>3093</v>
      </c>
      <c r="L12" s="156" t="s">
        <v>3131</v>
      </c>
      <c r="M12" s="30" t="s">
        <v>2707</v>
      </c>
      <c r="N12" s="114">
        <v>-2900</v>
      </c>
      <c r="O12" s="30" t="s">
        <v>3142</v>
      </c>
      <c r="P12" s="30" t="s">
        <v>2970</v>
      </c>
      <c r="Q12" s="30" t="s">
        <v>3153</v>
      </c>
      <c r="R12" s="30" t="s">
        <v>3255</v>
      </c>
      <c r="S12" s="30" t="s">
        <v>3253</v>
      </c>
      <c r="T12" s="30" t="s">
        <v>3254</v>
      </c>
      <c r="U12" s="157" t="s">
        <v>3158</v>
      </c>
      <c r="V12" s="30"/>
      <c r="W12" s="30"/>
      <c r="X12" s="30" t="str">
        <f t="shared" ref="X12:X19" si="0">CONCATENATE(O12,"_",P12,Q12,R12,S12,T12,U12)</f>
        <v>Other Revenue_Web Site Advertisements Fees_NC066_2017/2018_O_REV_004</v>
      </c>
      <c r="Y12" s="172" t="s">
        <v>3245</v>
      </c>
    </row>
    <row r="13" spans="1:25" x14ac:dyDescent="0.35">
      <c r="A13" s="101"/>
      <c r="B13" s="158" t="s">
        <v>2980</v>
      </c>
      <c r="C13" s="210">
        <v>-25000</v>
      </c>
      <c r="D13" s="159"/>
      <c r="E13" s="159"/>
      <c r="F13" s="159"/>
      <c r="G13" s="159"/>
      <c r="H13" s="159"/>
      <c r="I13" s="160" t="s">
        <v>2707</v>
      </c>
      <c r="J13" s="161" t="s">
        <v>3248</v>
      </c>
      <c r="K13" s="161" t="s">
        <v>3110</v>
      </c>
      <c r="L13" s="161" t="s">
        <v>3131</v>
      </c>
      <c r="M13" s="160" t="s">
        <v>2707</v>
      </c>
      <c r="N13" s="159">
        <v>-25000</v>
      </c>
      <c r="O13" s="160" t="s">
        <v>3142</v>
      </c>
      <c r="P13" s="160" t="s">
        <v>3259</v>
      </c>
      <c r="Q13" s="160" t="s">
        <v>3153</v>
      </c>
      <c r="R13" s="160" t="s">
        <v>3255</v>
      </c>
      <c r="S13" s="160" t="s">
        <v>3253</v>
      </c>
      <c r="T13" s="160" t="s">
        <v>3254</v>
      </c>
      <c r="U13" s="162" t="s">
        <v>3160</v>
      </c>
      <c r="V13" s="160"/>
      <c r="W13" s="160"/>
      <c r="X13" s="160" t="str">
        <f>CONCATENATE(O13,"_",P13,Q13,R13,S13,T13,U13)</f>
        <v>Other Revenue_Water &amp; Electricity: Tampering &amp; Reconnection Fees_NC066_2017/2018_O_REV_005</v>
      </c>
      <c r="Y13" s="163" t="s">
        <v>3245</v>
      </c>
    </row>
    <row r="14" spans="1:25" x14ac:dyDescent="0.35">
      <c r="A14" s="101"/>
      <c r="B14" s="171" t="s">
        <v>2896</v>
      </c>
      <c r="C14" s="209">
        <v>-19100</v>
      </c>
      <c r="D14" s="114"/>
      <c r="E14" s="114"/>
      <c r="F14" s="114"/>
      <c r="G14" s="114"/>
      <c r="H14" s="114"/>
      <c r="I14" s="30" t="s">
        <v>2707</v>
      </c>
      <c r="J14" s="156" t="s">
        <v>3248</v>
      </c>
      <c r="K14" s="156" t="s">
        <v>3110</v>
      </c>
      <c r="L14" s="156" t="s">
        <v>3131</v>
      </c>
      <c r="M14" s="30" t="s">
        <v>2707</v>
      </c>
      <c r="N14" s="114">
        <v>-19100</v>
      </c>
      <c r="O14" s="30"/>
      <c r="P14" s="30" t="s">
        <v>0</v>
      </c>
      <c r="Q14" s="30"/>
      <c r="R14" s="30"/>
      <c r="S14" s="30"/>
      <c r="T14" s="30"/>
      <c r="U14" s="173"/>
      <c r="V14" s="30"/>
      <c r="W14" s="30"/>
      <c r="X14" s="30" t="s">
        <v>0</v>
      </c>
      <c r="Y14" s="172"/>
    </row>
    <row r="15" spans="1:25" x14ac:dyDescent="0.35">
      <c r="A15" s="101"/>
      <c r="B15" s="171" t="s">
        <v>2943</v>
      </c>
      <c r="C15" s="114">
        <v>-4800</v>
      </c>
      <c r="D15" s="114"/>
      <c r="E15" s="114"/>
      <c r="F15" s="114"/>
      <c r="G15" s="114"/>
      <c r="H15" s="114"/>
      <c r="I15" s="30" t="s">
        <v>2707</v>
      </c>
      <c r="J15" s="156" t="s">
        <v>3248</v>
      </c>
      <c r="K15" s="156" t="s">
        <v>3110</v>
      </c>
      <c r="L15" s="156" t="s">
        <v>3131</v>
      </c>
      <c r="M15" s="30" t="s">
        <v>2707</v>
      </c>
      <c r="N15" s="114">
        <v>-4800</v>
      </c>
      <c r="O15" s="30"/>
      <c r="P15" s="30" t="s">
        <v>0</v>
      </c>
      <c r="Q15" s="30"/>
      <c r="R15" s="30"/>
      <c r="S15" s="30"/>
      <c r="T15" s="30"/>
      <c r="U15" s="173"/>
      <c r="V15" s="30"/>
      <c r="W15" s="30"/>
      <c r="X15" s="30" t="s">
        <v>0</v>
      </c>
      <c r="Y15" s="172"/>
    </row>
    <row r="16" spans="1:25" ht="15" thickBot="1" x14ac:dyDescent="0.4">
      <c r="A16" s="101"/>
      <c r="B16" s="164" t="s">
        <v>2941</v>
      </c>
      <c r="C16" s="211">
        <v>-12000</v>
      </c>
      <c r="D16" s="165"/>
      <c r="E16" s="165"/>
      <c r="F16" s="165"/>
      <c r="G16" s="165"/>
      <c r="H16" s="165"/>
      <c r="I16" s="166" t="s">
        <v>2707</v>
      </c>
      <c r="J16" s="167" t="s">
        <v>3248</v>
      </c>
      <c r="K16" s="167" t="s">
        <v>3110</v>
      </c>
      <c r="L16" s="167" t="s">
        <v>3131</v>
      </c>
      <c r="M16" s="166" t="s">
        <v>2707</v>
      </c>
      <c r="N16" s="165">
        <v>-12000</v>
      </c>
      <c r="O16" s="166"/>
      <c r="P16" s="166" t="s">
        <v>0</v>
      </c>
      <c r="Q16" s="166"/>
      <c r="R16" s="166"/>
      <c r="S16" s="166"/>
      <c r="T16" s="166"/>
      <c r="U16" s="174"/>
      <c r="V16" s="166"/>
      <c r="W16" s="166"/>
      <c r="X16" s="166" t="s">
        <v>0</v>
      </c>
      <c r="Y16" s="170"/>
    </row>
    <row r="17" spans="1:25" ht="15" thickBot="1" x14ac:dyDescent="0.4">
      <c r="A17" s="101"/>
      <c r="B17" s="171" t="s">
        <v>2935</v>
      </c>
      <c r="C17" s="209">
        <v>-10000</v>
      </c>
      <c r="D17" s="114"/>
      <c r="E17" s="114"/>
      <c r="F17" s="114"/>
      <c r="G17" s="114"/>
      <c r="H17" s="114"/>
      <c r="I17" s="30" t="s">
        <v>2707</v>
      </c>
      <c r="J17" s="156" t="s">
        <v>3248</v>
      </c>
      <c r="K17" s="156" t="s">
        <v>3079</v>
      </c>
      <c r="L17" s="156" t="s">
        <v>3131</v>
      </c>
      <c r="M17" s="30" t="s">
        <v>2707</v>
      </c>
      <c r="N17" s="114">
        <v>-10000</v>
      </c>
      <c r="O17" s="30" t="s">
        <v>3142</v>
      </c>
      <c r="P17" s="30" t="s">
        <v>2935</v>
      </c>
      <c r="Q17" s="30" t="s">
        <v>3153</v>
      </c>
      <c r="R17" s="30" t="s">
        <v>3255</v>
      </c>
      <c r="S17" s="30" t="s">
        <v>3253</v>
      </c>
      <c r="T17" s="30" t="s">
        <v>3254</v>
      </c>
      <c r="U17" s="157" t="s">
        <v>3161</v>
      </c>
      <c r="V17" s="30"/>
      <c r="W17" s="30"/>
      <c r="X17" s="30" t="str">
        <f t="shared" si="0"/>
        <v>Other Revenue_Salary Deduction Commission_NC066_2017/2018_O_REV_006</v>
      </c>
      <c r="Y17" s="172" t="s">
        <v>3245</v>
      </c>
    </row>
    <row r="18" spans="1:25" ht="15" thickBot="1" x14ac:dyDescent="0.4">
      <c r="A18" s="101"/>
      <c r="B18" s="154" t="s">
        <v>2841</v>
      </c>
      <c r="C18" s="208">
        <v>-12000</v>
      </c>
      <c r="D18" s="179"/>
      <c r="E18" s="179"/>
      <c r="F18" s="179"/>
      <c r="G18" s="179"/>
      <c r="H18" s="179"/>
      <c r="I18" s="180" t="s">
        <v>2707</v>
      </c>
      <c r="J18" s="181" t="s">
        <v>3248</v>
      </c>
      <c r="K18" s="181" t="s">
        <v>3090</v>
      </c>
      <c r="L18" s="181" t="s">
        <v>3131</v>
      </c>
      <c r="M18" s="180" t="s">
        <v>2707</v>
      </c>
      <c r="N18" s="179">
        <v>-12000</v>
      </c>
      <c r="O18" s="180" t="s">
        <v>3142</v>
      </c>
      <c r="P18" s="180" t="s">
        <v>3375</v>
      </c>
      <c r="Q18" s="160" t="s">
        <v>3153</v>
      </c>
      <c r="R18" s="160" t="s">
        <v>3255</v>
      </c>
      <c r="S18" s="160" t="s">
        <v>3253</v>
      </c>
      <c r="T18" s="160" t="s">
        <v>3254</v>
      </c>
      <c r="U18" s="182" t="s">
        <v>3162</v>
      </c>
      <c r="V18" s="180"/>
      <c r="W18" s="180"/>
      <c r="X18" s="180" t="str">
        <f t="shared" si="0"/>
        <v>Other Revenue_Sale of Property_NC066_2017/2018_O_REV_007</v>
      </c>
      <c r="Y18" s="163" t="s">
        <v>3245</v>
      </c>
    </row>
    <row r="19" spans="1:25" ht="15" thickBot="1" x14ac:dyDescent="0.4">
      <c r="A19" s="101"/>
      <c r="B19" s="171" t="s">
        <v>2834</v>
      </c>
      <c r="C19" s="114">
        <v>-1000</v>
      </c>
      <c r="D19" s="114"/>
      <c r="E19" s="114"/>
      <c r="F19" s="114"/>
      <c r="G19" s="114"/>
      <c r="H19" s="114"/>
      <c r="I19" s="30" t="s">
        <v>2707</v>
      </c>
      <c r="J19" s="156" t="s">
        <v>3248</v>
      </c>
      <c r="K19" s="156" t="s">
        <v>3075</v>
      </c>
      <c r="L19" s="156" t="s">
        <v>3131</v>
      </c>
      <c r="M19" s="30" t="s">
        <v>2707</v>
      </c>
      <c r="N19" s="114">
        <v>-1000</v>
      </c>
      <c r="O19" s="30" t="s">
        <v>3142</v>
      </c>
      <c r="P19" s="30" t="s">
        <v>3376</v>
      </c>
      <c r="Q19" s="160" t="s">
        <v>3153</v>
      </c>
      <c r="R19" s="160" t="s">
        <v>3255</v>
      </c>
      <c r="S19" s="160" t="s">
        <v>3253</v>
      </c>
      <c r="T19" s="160" t="s">
        <v>3254</v>
      </c>
      <c r="U19" s="157" t="s">
        <v>3163</v>
      </c>
      <c r="V19" s="30"/>
      <c r="W19" s="30"/>
      <c r="X19" s="30" t="str">
        <f t="shared" si="0"/>
        <v>Other Revenue_Cash Surplus_NC066_2017/2018_O_REV_008</v>
      </c>
      <c r="Y19" s="163" t="s">
        <v>3245</v>
      </c>
    </row>
    <row r="20" spans="1:25" x14ac:dyDescent="0.35">
      <c r="A20" s="101"/>
      <c r="B20" s="158" t="s">
        <v>2897</v>
      </c>
      <c r="C20" s="159">
        <v>0</v>
      </c>
      <c r="D20" s="159"/>
      <c r="E20" s="159"/>
      <c r="F20" s="159"/>
      <c r="G20" s="159"/>
      <c r="H20" s="159"/>
      <c r="I20" s="160" t="s">
        <v>2707</v>
      </c>
      <c r="J20" s="161" t="s">
        <v>3248</v>
      </c>
      <c r="K20" s="161" t="s">
        <v>3076</v>
      </c>
      <c r="L20" s="161" t="s">
        <v>3131</v>
      </c>
      <c r="M20" s="160" t="s">
        <v>2707</v>
      </c>
      <c r="N20" s="159">
        <v>0</v>
      </c>
      <c r="O20" s="160" t="s">
        <v>3142</v>
      </c>
      <c r="P20" s="160" t="s">
        <v>3390</v>
      </c>
      <c r="Q20" s="160" t="s">
        <v>3153</v>
      </c>
      <c r="R20" s="160" t="s">
        <v>3255</v>
      </c>
      <c r="S20" s="160" t="s">
        <v>3253</v>
      </c>
      <c r="T20" s="160" t="s">
        <v>3254</v>
      </c>
      <c r="U20" s="162" t="s">
        <v>3164</v>
      </c>
      <c r="V20" s="160"/>
      <c r="W20" s="160"/>
      <c r="X20" s="160" t="str">
        <f>CONCATENATE(O20,"_",P20,Q20,R20,S20,T20,U20)</f>
        <v>Other Revenue_Overpaymant Collection_NC066_2017/2018_O_REV_009</v>
      </c>
      <c r="Y20" s="163" t="s">
        <v>3245</v>
      </c>
    </row>
    <row r="21" spans="1:25" ht="15" thickBot="1" x14ac:dyDescent="0.4">
      <c r="A21" s="146"/>
      <c r="B21" s="164" t="s">
        <v>3389</v>
      </c>
      <c r="C21" s="211">
        <v>-6000</v>
      </c>
      <c r="D21" s="165"/>
      <c r="E21" s="165"/>
      <c r="F21" s="165"/>
      <c r="G21" s="165"/>
      <c r="H21" s="165"/>
      <c r="I21" s="166" t="s">
        <v>2707</v>
      </c>
      <c r="J21" s="167" t="s">
        <v>3248</v>
      </c>
      <c r="K21" s="167" t="s">
        <v>3076</v>
      </c>
      <c r="L21" s="167" t="s">
        <v>3131</v>
      </c>
      <c r="M21" s="166" t="s">
        <v>2707</v>
      </c>
      <c r="N21" s="165">
        <v>-6000</v>
      </c>
      <c r="O21" s="166"/>
      <c r="P21" s="166" t="s">
        <v>3378</v>
      </c>
      <c r="Q21" s="166"/>
      <c r="R21" s="166"/>
      <c r="S21" s="166"/>
      <c r="T21" s="166"/>
      <c r="U21" s="174"/>
      <c r="V21" s="166"/>
      <c r="W21" s="166"/>
      <c r="X21" s="166"/>
      <c r="Y21" s="170"/>
    </row>
    <row r="22" spans="1:25" ht="15" thickBot="1" x14ac:dyDescent="0.4">
      <c r="A22" s="154"/>
      <c r="B22" s="30" t="s">
        <v>3071</v>
      </c>
      <c r="C22" s="209">
        <v>-1498000</v>
      </c>
      <c r="D22" s="114"/>
      <c r="E22" s="114"/>
      <c r="F22" s="114"/>
      <c r="G22" s="114"/>
      <c r="H22" s="114"/>
      <c r="I22" s="30" t="s">
        <v>2707</v>
      </c>
      <c r="J22" s="156" t="s">
        <v>3248</v>
      </c>
      <c r="K22" s="156" t="s">
        <v>3076</v>
      </c>
      <c r="L22" s="156" t="s">
        <v>3131</v>
      </c>
      <c r="M22" s="30" t="s">
        <v>2707</v>
      </c>
      <c r="N22" s="114">
        <v>-1498000</v>
      </c>
      <c r="O22" s="30" t="s">
        <v>3142</v>
      </c>
      <c r="P22" s="30" t="s">
        <v>3071</v>
      </c>
      <c r="Q22" s="30" t="s">
        <v>3153</v>
      </c>
      <c r="R22" s="30" t="s">
        <v>3255</v>
      </c>
      <c r="S22" s="30" t="s">
        <v>3253</v>
      </c>
      <c r="T22" s="30" t="s">
        <v>3254</v>
      </c>
      <c r="U22" s="173" t="s">
        <v>3388</v>
      </c>
      <c r="V22" s="30"/>
      <c r="W22" s="30"/>
      <c r="X22" s="30" t="str">
        <f>CONCATENATE(O22,"_",P22,Q22,R22,S22,T22,U22)</f>
        <v>Other Revenue_SARS Revenue on VAT_NC066_2017/2018_O_REV_041</v>
      </c>
      <c r="Y22" s="172" t="s">
        <v>3245</v>
      </c>
    </row>
    <row r="23" spans="1:25" x14ac:dyDescent="0.35">
      <c r="A23" s="148"/>
      <c r="B23" s="158" t="s">
        <v>2973</v>
      </c>
      <c r="C23" s="159">
        <v>0</v>
      </c>
      <c r="D23" s="159"/>
      <c r="E23" s="159"/>
      <c r="F23" s="159"/>
      <c r="G23" s="159"/>
      <c r="H23" s="159"/>
      <c r="I23" s="160" t="s">
        <v>2707</v>
      </c>
      <c r="J23" s="161" t="s">
        <v>3248</v>
      </c>
      <c r="K23" s="161" t="s">
        <v>3076</v>
      </c>
      <c r="L23" s="161" t="s">
        <v>3131</v>
      </c>
      <c r="M23" s="160" t="s">
        <v>2707</v>
      </c>
      <c r="N23" s="159">
        <v>0</v>
      </c>
      <c r="O23" s="160" t="s">
        <v>3142</v>
      </c>
      <c r="P23" s="160" t="s">
        <v>3379</v>
      </c>
      <c r="Q23" s="160" t="s">
        <v>3153</v>
      </c>
      <c r="R23" s="160" t="s">
        <v>3255</v>
      </c>
      <c r="S23" s="160" t="s">
        <v>3253</v>
      </c>
      <c r="T23" s="160" t="s">
        <v>3254</v>
      </c>
      <c r="U23" s="187" t="s">
        <v>3392</v>
      </c>
      <c r="V23" s="160"/>
      <c r="W23" s="160"/>
      <c r="X23" s="160" t="str">
        <f>CONCATENATE(O23,"_",P23,Q23,R23,S23,T23,U23)</f>
        <v>Other Revenue_Telephone &amp; Fax Fees  _NC066_2017/2018_O_REV_042</v>
      </c>
      <c r="Y23" s="163" t="s">
        <v>3245</v>
      </c>
    </row>
    <row r="24" spans="1:25" ht="15" thickBot="1" x14ac:dyDescent="0.4">
      <c r="A24" s="101"/>
      <c r="B24" s="164" t="s">
        <v>3391</v>
      </c>
      <c r="C24" s="211">
        <v>-8700</v>
      </c>
      <c r="D24" s="165"/>
      <c r="E24" s="165"/>
      <c r="F24" s="165"/>
      <c r="G24" s="165"/>
      <c r="H24" s="165"/>
      <c r="I24" s="166" t="s">
        <v>2707</v>
      </c>
      <c r="J24" s="167" t="s">
        <v>3248</v>
      </c>
      <c r="K24" s="167" t="s">
        <v>3076</v>
      </c>
      <c r="L24" s="167" t="s">
        <v>3131</v>
      </c>
      <c r="M24" s="166" t="s">
        <v>2707</v>
      </c>
      <c r="N24" s="165">
        <v>-5800</v>
      </c>
      <c r="O24" s="166"/>
      <c r="P24" s="166" t="s">
        <v>3391</v>
      </c>
      <c r="Q24" s="166"/>
      <c r="R24" s="166"/>
      <c r="S24" s="166"/>
      <c r="T24" s="166"/>
      <c r="U24" s="174"/>
      <c r="V24" s="166"/>
      <c r="W24" s="166"/>
      <c r="X24" s="166"/>
      <c r="Y24" s="170"/>
    </row>
    <row r="25" spans="1:25" ht="15" thickBot="1" x14ac:dyDescent="0.4">
      <c r="A25" s="146"/>
      <c r="B25" s="171" t="s">
        <v>2969</v>
      </c>
      <c r="C25" s="209">
        <v>-9300</v>
      </c>
      <c r="D25" s="114"/>
      <c r="E25" s="114"/>
      <c r="F25" s="114"/>
      <c r="G25" s="114"/>
      <c r="H25" s="114"/>
      <c r="I25" s="30" t="s">
        <v>2707</v>
      </c>
      <c r="J25" s="156" t="s">
        <v>3248</v>
      </c>
      <c r="K25" s="156" t="s">
        <v>3076</v>
      </c>
      <c r="L25" s="156" t="s">
        <v>3131</v>
      </c>
      <c r="M25" s="30" t="s">
        <v>2707</v>
      </c>
      <c r="N25" s="114">
        <v>-9300</v>
      </c>
      <c r="O25" s="30" t="s">
        <v>3142</v>
      </c>
      <c r="P25" s="30" t="s">
        <v>2969</v>
      </c>
      <c r="Q25" s="30" t="s">
        <v>3153</v>
      </c>
      <c r="R25" s="30" t="s">
        <v>3255</v>
      </c>
      <c r="S25" s="30" t="s">
        <v>3253</v>
      </c>
      <c r="T25" s="30" t="s">
        <v>3254</v>
      </c>
      <c r="U25" s="157" t="s">
        <v>3387</v>
      </c>
      <c r="V25" s="30"/>
      <c r="W25" s="30"/>
      <c r="X25" s="30" t="str">
        <f>CONCATENATE(O25,"_",P25,Q25,R25,S25,T25,U25)</f>
        <v>Other Revenue_Tender Fees_NC066_2017/2018_O_REV_040</v>
      </c>
      <c r="Y25" s="172" t="s">
        <v>3245</v>
      </c>
    </row>
    <row r="26" spans="1:25" x14ac:dyDescent="0.35">
      <c r="A26" s="149"/>
      <c r="B26" s="158" t="s">
        <v>2981</v>
      </c>
      <c r="C26" s="159">
        <v>-1700</v>
      </c>
      <c r="D26" s="159"/>
      <c r="E26" s="159"/>
      <c r="F26" s="159"/>
      <c r="G26" s="159"/>
      <c r="H26" s="159"/>
      <c r="I26" s="160" t="s">
        <v>2707</v>
      </c>
      <c r="J26" s="161" t="s">
        <v>3248</v>
      </c>
      <c r="K26" s="161" t="s">
        <v>3092</v>
      </c>
      <c r="L26" s="161" t="s">
        <v>3131</v>
      </c>
      <c r="M26" s="160" t="s">
        <v>2707</v>
      </c>
      <c r="N26" s="159">
        <v>-1700</v>
      </c>
      <c r="O26" s="160" t="s">
        <v>3142</v>
      </c>
      <c r="P26" s="160" t="s">
        <v>3260</v>
      </c>
      <c r="Q26" s="160" t="s">
        <v>3153</v>
      </c>
      <c r="R26" s="160" t="s">
        <v>3255</v>
      </c>
      <c r="S26" s="160" t="s">
        <v>3253</v>
      </c>
      <c r="T26" s="160" t="s">
        <v>3254</v>
      </c>
      <c r="U26" s="162" t="s">
        <v>3165</v>
      </c>
      <c r="V26" s="160"/>
      <c r="W26" s="160"/>
      <c r="X26" s="160" t="str">
        <f>CONCATENATE(O26,"_",P26,Q26,R26,S26,T26,U26)</f>
        <v>Other Revenue_Water &amp; Electricity: Call Out &amp; Installation Fees_NC066_2017/2018_O_REV_010</v>
      </c>
      <c r="Y26" s="163" t="s">
        <v>3245</v>
      </c>
    </row>
    <row r="27" spans="1:25" x14ac:dyDescent="0.35">
      <c r="A27" s="150"/>
      <c r="B27" s="171" t="s">
        <v>2895</v>
      </c>
      <c r="C27" s="209">
        <v>-6900</v>
      </c>
      <c r="D27" s="114"/>
      <c r="E27" s="114"/>
      <c r="F27" s="114"/>
      <c r="G27" s="114"/>
      <c r="H27" s="114"/>
      <c r="I27" s="30" t="s">
        <v>2707</v>
      </c>
      <c r="J27" s="156" t="s">
        <v>3248</v>
      </c>
      <c r="K27" s="156" t="s">
        <v>3092</v>
      </c>
      <c r="L27" s="156" t="s">
        <v>3131</v>
      </c>
      <c r="M27" s="30" t="s">
        <v>2707</v>
      </c>
      <c r="N27" s="114">
        <v>-6900</v>
      </c>
      <c r="O27" s="30"/>
      <c r="P27" s="30" t="s">
        <v>0</v>
      </c>
      <c r="Q27" s="30"/>
      <c r="R27" s="30"/>
      <c r="S27" s="30"/>
      <c r="T27" s="30"/>
      <c r="U27" s="173"/>
      <c r="V27" s="30"/>
      <c r="W27" s="30"/>
      <c r="X27" s="30" t="str">
        <f>CONCATENATE(O27,Q27,R27,S27,T27,U27)</f>
        <v/>
      </c>
      <c r="Y27" s="172"/>
    </row>
    <row r="28" spans="1:25" x14ac:dyDescent="0.35">
      <c r="A28" s="150"/>
      <c r="B28" s="171" t="s">
        <v>2940</v>
      </c>
      <c r="C28" s="114">
        <v>-1700</v>
      </c>
      <c r="D28" s="114"/>
      <c r="E28" s="114"/>
      <c r="F28" s="114"/>
      <c r="G28" s="114"/>
      <c r="H28" s="114"/>
      <c r="I28" s="30" t="s">
        <v>2707</v>
      </c>
      <c r="J28" s="156" t="s">
        <v>3248</v>
      </c>
      <c r="K28" s="156" t="s">
        <v>3092</v>
      </c>
      <c r="L28" s="156" t="s">
        <v>3131</v>
      </c>
      <c r="M28" s="30" t="s">
        <v>2707</v>
      </c>
      <c r="N28" s="114">
        <v>-1700</v>
      </c>
      <c r="O28" s="30"/>
      <c r="P28" s="30" t="s">
        <v>0</v>
      </c>
      <c r="Q28" s="30"/>
      <c r="R28" s="30"/>
      <c r="S28" s="30"/>
      <c r="T28" s="30"/>
      <c r="U28" s="173"/>
      <c r="V28" s="30"/>
      <c r="W28" s="30"/>
      <c r="X28" s="30" t="str">
        <f>CONCATENATE(O28,Q28,R28,S28,T28,U28)</f>
        <v/>
      </c>
      <c r="Y28" s="172"/>
    </row>
    <row r="29" spans="1:25" ht="15" thickBot="1" x14ac:dyDescent="0.4">
      <c r="A29" s="151"/>
      <c r="B29" s="164" t="s">
        <v>2942</v>
      </c>
      <c r="C29" s="211">
        <v>-6700</v>
      </c>
      <c r="D29" s="165"/>
      <c r="E29" s="165"/>
      <c r="F29" s="165"/>
      <c r="G29" s="165"/>
      <c r="H29" s="165"/>
      <c r="I29" s="166" t="s">
        <v>2707</v>
      </c>
      <c r="J29" s="167" t="s">
        <v>3248</v>
      </c>
      <c r="K29" s="167" t="s">
        <v>3092</v>
      </c>
      <c r="L29" s="167" t="s">
        <v>3131</v>
      </c>
      <c r="M29" s="166" t="s">
        <v>2707</v>
      </c>
      <c r="N29" s="165">
        <v>-6700</v>
      </c>
      <c r="O29" s="166"/>
      <c r="P29" s="166" t="s">
        <v>0</v>
      </c>
      <c r="Q29" s="166"/>
      <c r="R29" s="166"/>
      <c r="S29" s="166"/>
      <c r="T29" s="166"/>
      <c r="U29" s="174"/>
      <c r="V29" s="166"/>
      <c r="W29" s="166"/>
      <c r="X29" s="166" t="str">
        <f>CONCATENATE(O29,Q29,R29,S29,T29,U29)</f>
        <v/>
      </c>
      <c r="Y29" s="170"/>
    </row>
    <row r="30" spans="1:25" ht="15" thickBot="1" x14ac:dyDescent="0.4">
      <c r="A30" s="148"/>
      <c r="B30" s="171" t="s">
        <v>3002</v>
      </c>
      <c r="C30" s="114">
        <v>-1900</v>
      </c>
      <c r="D30" s="114"/>
      <c r="E30" s="114"/>
      <c r="F30" s="114"/>
      <c r="G30" s="114"/>
      <c r="H30" s="114"/>
      <c r="I30" s="30" t="s">
        <v>2707</v>
      </c>
      <c r="J30" s="156" t="s">
        <v>3248</v>
      </c>
      <c r="K30" s="156" t="s">
        <v>3092</v>
      </c>
      <c r="L30" s="156" t="s">
        <v>3131</v>
      </c>
      <c r="M30" s="30" t="s">
        <v>2707</v>
      </c>
      <c r="N30" s="114">
        <v>-1900</v>
      </c>
      <c r="O30" s="30" t="s">
        <v>3142</v>
      </c>
      <c r="P30" s="30" t="s">
        <v>3381</v>
      </c>
      <c r="Q30" s="30" t="s">
        <v>3153</v>
      </c>
      <c r="R30" s="30" t="s">
        <v>3255</v>
      </c>
      <c r="S30" s="30" t="s">
        <v>3253</v>
      </c>
      <c r="T30" s="30" t="s">
        <v>3254</v>
      </c>
      <c r="U30" s="157" t="s">
        <v>3166</v>
      </c>
      <c r="V30" s="30"/>
      <c r="W30" s="30"/>
      <c r="X30" s="30" t="str">
        <f>CONCATENATE(O30,"_",P30,Q30,R30,S30,T30,U30)</f>
        <v>Other Revenue_Garden Refuse Removal Income_NC066_2017/2018_O_REV_011</v>
      </c>
      <c r="Y30" s="172" t="s">
        <v>3245</v>
      </c>
    </row>
    <row r="31" spans="1:25" x14ac:dyDescent="0.35">
      <c r="A31" s="101"/>
      <c r="B31" s="158" t="s">
        <v>2938</v>
      </c>
      <c r="C31" s="210">
        <v>-19300</v>
      </c>
      <c r="D31" s="159"/>
      <c r="E31" s="159"/>
      <c r="F31" s="159"/>
      <c r="G31" s="159"/>
      <c r="H31" s="159"/>
      <c r="I31" s="160" t="s">
        <v>2707</v>
      </c>
      <c r="J31" s="161" t="s">
        <v>3248</v>
      </c>
      <c r="K31" s="161" t="s">
        <v>3092</v>
      </c>
      <c r="L31" s="161" t="s">
        <v>3131</v>
      </c>
      <c r="M31" s="160" t="s">
        <v>2707</v>
      </c>
      <c r="N31" s="159">
        <v>-19300</v>
      </c>
      <c r="O31" s="160" t="s">
        <v>3142</v>
      </c>
      <c r="P31" s="160" t="s">
        <v>3393</v>
      </c>
      <c r="Q31" s="160" t="s">
        <v>3153</v>
      </c>
      <c r="R31" s="160" t="s">
        <v>3255</v>
      </c>
      <c r="S31" s="160" t="s">
        <v>3253</v>
      </c>
      <c r="T31" s="160" t="s">
        <v>3254</v>
      </c>
      <c r="U31" s="187" t="s">
        <v>3394</v>
      </c>
      <c r="V31" s="160"/>
      <c r="W31" s="160"/>
      <c r="X31" s="160" t="str">
        <f>CONCATENATE(O31,"_",P31,Q31,R31,S31,T31,U31)</f>
        <v>Other Revenue_Rates Certificates_NC066_2017/2018_O_REV_043</v>
      </c>
      <c r="Y31" s="163" t="s">
        <v>3245</v>
      </c>
    </row>
    <row r="32" spans="1:25" ht="15" thickBot="1" x14ac:dyDescent="0.4">
      <c r="A32" s="101"/>
      <c r="B32" s="164" t="s">
        <v>2975</v>
      </c>
      <c r="C32" s="211">
        <v>-11800</v>
      </c>
      <c r="D32" s="165"/>
      <c r="E32" s="165"/>
      <c r="F32" s="165"/>
      <c r="G32" s="165"/>
      <c r="H32" s="165"/>
      <c r="I32" s="166" t="s">
        <v>2707</v>
      </c>
      <c r="J32" s="167" t="s">
        <v>3248</v>
      </c>
      <c r="K32" s="167" t="s">
        <v>3092</v>
      </c>
      <c r="L32" s="167" t="s">
        <v>3131</v>
      </c>
      <c r="M32" s="166" t="s">
        <v>2707</v>
      </c>
      <c r="N32" s="165">
        <v>-11800</v>
      </c>
      <c r="O32" s="166" t="s">
        <v>0</v>
      </c>
      <c r="P32" s="166"/>
      <c r="Q32" s="166"/>
      <c r="R32" s="166"/>
      <c r="S32" s="166"/>
      <c r="T32" s="166"/>
      <c r="U32" s="174"/>
      <c r="V32" s="166"/>
      <c r="W32" s="166"/>
      <c r="X32" s="166" t="s">
        <v>0</v>
      </c>
      <c r="Y32" s="170"/>
    </row>
    <row r="33" spans="1:25" ht="15" thickBot="1" x14ac:dyDescent="0.4">
      <c r="A33" s="101"/>
      <c r="B33" s="30" t="s">
        <v>2945</v>
      </c>
      <c r="C33" s="114">
        <v>-2000</v>
      </c>
      <c r="D33" s="114"/>
      <c r="E33" s="114"/>
      <c r="F33" s="114"/>
      <c r="G33" s="114"/>
      <c r="H33" s="114"/>
      <c r="I33" s="30" t="s">
        <v>2707</v>
      </c>
      <c r="J33" s="156" t="s">
        <v>3248</v>
      </c>
      <c r="K33" s="156" t="s">
        <v>3092</v>
      </c>
      <c r="L33" s="156" t="s">
        <v>3131</v>
      </c>
      <c r="M33" s="30" t="s">
        <v>2707</v>
      </c>
      <c r="N33" s="114">
        <v>-2000</v>
      </c>
      <c r="O33" s="30" t="s">
        <v>3142</v>
      </c>
      <c r="P33" s="30" t="s">
        <v>2945</v>
      </c>
      <c r="Q33" s="30" t="s">
        <v>3153</v>
      </c>
      <c r="R33" s="30" t="s">
        <v>3255</v>
      </c>
      <c r="S33" s="30" t="s">
        <v>3253</v>
      </c>
      <c r="T33" s="30" t="s">
        <v>3254</v>
      </c>
      <c r="U33" s="173" t="s">
        <v>3395</v>
      </c>
      <c r="V33" s="30"/>
      <c r="W33" s="30"/>
      <c r="X33" s="30" t="str">
        <f>CONCATENATE(O33,"_",P33,Q33,R33,S33,T33,U33)</f>
        <v>Other Revenue_Sanitation: Call Out Fees_NC066_2017/2018_O_REV_044</v>
      </c>
      <c r="Y33" s="172" t="s">
        <v>3245</v>
      </c>
    </row>
    <row r="34" spans="1:25" x14ac:dyDescent="0.35">
      <c r="A34" s="101"/>
      <c r="B34" s="158" t="s">
        <v>2894</v>
      </c>
      <c r="C34" s="210">
        <v>-94000</v>
      </c>
      <c r="D34" s="159"/>
      <c r="E34" s="159"/>
      <c r="F34" s="159"/>
      <c r="G34" s="159"/>
      <c r="H34" s="159"/>
      <c r="I34" s="160" t="s">
        <v>2716</v>
      </c>
      <c r="J34" s="161" t="s">
        <v>3250</v>
      </c>
      <c r="K34" s="161" t="s">
        <v>3101</v>
      </c>
      <c r="L34" s="161" t="s">
        <v>3131</v>
      </c>
      <c r="M34" s="160" t="s">
        <v>2716</v>
      </c>
      <c r="N34" s="159">
        <v>-94000</v>
      </c>
      <c r="O34" s="160" t="s">
        <v>3224</v>
      </c>
      <c r="P34" s="160" t="s">
        <v>3262</v>
      </c>
      <c r="Q34" s="160" t="s">
        <v>3153</v>
      </c>
      <c r="R34" s="160" t="s">
        <v>3255</v>
      </c>
      <c r="S34" s="160" t="s">
        <v>3253</v>
      </c>
      <c r="T34" s="160" t="s">
        <v>3254</v>
      </c>
      <c r="U34" s="162" t="s">
        <v>3167</v>
      </c>
      <c r="V34" s="160"/>
      <c r="W34" s="160"/>
      <c r="X34" s="160" t="str">
        <f>CONCATENATE(O34,"_",P34,Q34,R34,S34,T34,U34)</f>
        <v>Rental of Facilities and Equipment_Communage Rent: Town &amp; Farms_NC066_2017/2018_O_REV_012</v>
      </c>
      <c r="Y34" s="163" t="s">
        <v>3245</v>
      </c>
    </row>
    <row r="35" spans="1:25" ht="15" thickBot="1" x14ac:dyDescent="0.4">
      <c r="A35" s="146"/>
      <c r="B35" s="164" t="s">
        <v>2893</v>
      </c>
      <c r="C35" s="211">
        <v>-358200</v>
      </c>
      <c r="D35" s="165"/>
      <c r="E35" s="165"/>
      <c r="F35" s="165"/>
      <c r="G35" s="165"/>
      <c r="H35" s="165"/>
      <c r="I35" s="166" t="s">
        <v>2716</v>
      </c>
      <c r="J35" s="167" t="s">
        <v>3250</v>
      </c>
      <c r="K35" s="167" t="s">
        <v>3101</v>
      </c>
      <c r="L35" s="167" t="s">
        <v>3131</v>
      </c>
      <c r="M35" s="166" t="s">
        <v>2716</v>
      </c>
      <c r="N35" s="165">
        <v>-358200</v>
      </c>
      <c r="O35" s="166"/>
      <c r="P35" s="166"/>
      <c r="Q35" s="166"/>
      <c r="R35" s="166"/>
      <c r="S35" s="166"/>
      <c r="T35" s="166"/>
      <c r="U35" s="174"/>
      <c r="V35" s="166"/>
      <c r="W35" s="166"/>
      <c r="X35" s="166" t="str">
        <f>CONCATENATE(O35,Q35,R35,S35,T35,U35)</f>
        <v/>
      </c>
      <c r="Y35" s="170"/>
    </row>
    <row r="36" spans="1:25" x14ac:dyDescent="0.35">
      <c r="A36" s="158"/>
      <c r="B36" s="160" t="s">
        <v>3046</v>
      </c>
      <c r="C36" s="159">
        <v>0</v>
      </c>
      <c r="D36" s="159"/>
      <c r="E36" s="159"/>
      <c r="F36" s="159"/>
      <c r="G36" s="159"/>
      <c r="H36" s="159"/>
      <c r="I36" s="160" t="s">
        <v>2713</v>
      </c>
      <c r="J36" s="161" t="s">
        <v>3248</v>
      </c>
      <c r="K36" s="161" t="s">
        <v>3079</v>
      </c>
      <c r="L36" s="161" t="s">
        <v>3131</v>
      </c>
      <c r="M36" s="160" t="s">
        <v>2713</v>
      </c>
      <c r="N36" s="159">
        <v>0</v>
      </c>
      <c r="O36" s="160" t="s">
        <v>3229</v>
      </c>
      <c r="P36" s="160" t="s">
        <v>3263</v>
      </c>
      <c r="Q36" s="160" t="s">
        <v>3153</v>
      </c>
      <c r="R36" s="160" t="s">
        <v>3255</v>
      </c>
      <c r="S36" s="160" t="s">
        <v>3253</v>
      </c>
      <c r="T36" s="160" t="s">
        <v>3254</v>
      </c>
      <c r="U36" s="162" t="s">
        <v>3168</v>
      </c>
      <c r="V36" s="160"/>
      <c r="W36" s="160"/>
      <c r="X36" s="160" t="str">
        <f>CONCATENATE(O36,"_",P36,Q36,R36,S36,T36,U36)</f>
        <v>Agency Services_Motor Vehicle Registration, Natis Commission &amp; Permits_NC066_2017/2018_O_REV_013</v>
      </c>
      <c r="Y36" s="163" t="s">
        <v>3245</v>
      </c>
    </row>
    <row r="37" spans="1:25" x14ac:dyDescent="0.35">
      <c r="A37" s="171"/>
      <c r="B37" s="30" t="s">
        <v>2840</v>
      </c>
      <c r="C37" s="114">
        <v>0</v>
      </c>
      <c r="D37" s="114"/>
      <c r="E37" s="114"/>
      <c r="F37" s="114"/>
      <c r="G37" s="114"/>
      <c r="H37" s="114"/>
      <c r="I37" s="30" t="s">
        <v>2713</v>
      </c>
      <c r="J37" s="156" t="s">
        <v>3248</v>
      </c>
      <c r="K37" s="156" t="s">
        <v>3079</v>
      </c>
      <c r="L37" s="156" t="s">
        <v>3131</v>
      </c>
      <c r="M37" s="30" t="s">
        <v>2713</v>
      </c>
      <c r="N37" s="114">
        <v>0</v>
      </c>
      <c r="O37" s="30"/>
      <c r="P37" s="30"/>
      <c r="Q37" s="30"/>
      <c r="R37" s="30"/>
      <c r="S37" s="30"/>
      <c r="T37" s="30"/>
      <c r="U37" s="173"/>
      <c r="V37" s="30"/>
      <c r="W37" s="30"/>
      <c r="X37" s="30" t="str">
        <f>CONCATENATE(O37,Q37,R37,S37,T37,U37)</f>
        <v/>
      </c>
      <c r="Y37" s="172"/>
    </row>
    <row r="38" spans="1:25" ht="15" thickBot="1" x14ac:dyDescent="0.4">
      <c r="A38" s="164"/>
      <c r="B38" s="166" t="s">
        <v>153</v>
      </c>
      <c r="C38" s="165">
        <v>0</v>
      </c>
      <c r="D38" s="165"/>
      <c r="E38" s="165"/>
      <c r="F38" s="165"/>
      <c r="G38" s="165"/>
      <c r="H38" s="165"/>
      <c r="I38" s="166" t="s">
        <v>2713</v>
      </c>
      <c r="J38" s="167" t="s">
        <v>3248</v>
      </c>
      <c r="K38" s="167" t="s">
        <v>3079</v>
      </c>
      <c r="L38" s="167" t="s">
        <v>3131</v>
      </c>
      <c r="M38" s="166" t="s">
        <v>2713</v>
      </c>
      <c r="N38" s="165">
        <v>0</v>
      </c>
      <c r="O38" s="166"/>
      <c r="P38" s="166"/>
      <c r="Q38" s="166"/>
      <c r="R38" s="166"/>
      <c r="S38" s="166"/>
      <c r="T38" s="166"/>
      <c r="U38" s="174"/>
      <c r="V38" s="166"/>
      <c r="W38" s="166"/>
      <c r="X38" s="166" t="str">
        <f>CONCATENATE(O38,Q38,R38,S38,T38,U38)</f>
        <v/>
      </c>
      <c r="Y38" s="170"/>
    </row>
    <row r="39" spans="1:25" ht="15" thickBot="1" x14ac:dyDescent="0.4">
      <c r="A39" s="164"/>
      <c r="B39" s="164" t="s">
        <v>2944</v>
      </c>
      <c r="C39" s="211">
        <v>-5100</v>
      </c>
      <c r="D39" s="165"/>
      <c r="E39" s="165"/>
      <c r="F39" s="165"/>
      <c r="G39" s="165"/>
      <c r="H39" s="165"/>
      <c r="I39" s="166" t="s">
        <v>2705</v>
      </c>
      <c r="J39" s="167" t="s">
        <v>3248</v>
      </c>
      <c r="K39" s="167" t="s">
        <v>3079</v>
      </c>
      <c r="L39" s="167" t="s">
        <v>3131</v>
      </c>
      <c r="M39" s="166" t="s">
        <v>2705</v>
      </c>
      <c r="N39" s="165">
        <v>-5100</v>
      </c>
      <c r="O39" s="166" t="s">
        <v>2705</v>
      </c>
      <c r="P39" s="166" t="s">
        <v>3264</v>
      </c>
      <c r="Q39" s="166" t="s">
        <v>3153</v>
      </c>
      <c r="R39" s="166" t="s">
        <v>3255</v>
      </c>
      <c r="S39" s="166" t="s">
        <v>3253</v>
      </c>
      <c r="T39" s="166" t="s">
        <v>3254</v>
      </c>
      <c r="U39" s="169" t="s">
        <v>3183</v>
      </c>
      <c r="V39" s="166"/>
      <c r="W39" s="166"/>
      <c r="X39" s="166" t="str">
        <f>CONCATENATE(O39,P39,Q39,R39,S39,T39,U39)</f>
        <v>FinesTraffic Fines_NC066_2017/2018_O_REV_014</v>
      </c>
      <c r="Y39" s="170" t="s">
        <v>3245</v>
      </c>
    </row>
    <row r="40" spans="1:25" ht="15" thickBot="1" x14ac:dyDescent="0.4">
      <c r="A40" s="148"/>
      <c r="B40" s="154" t="s">
        <v>2832</v>
      </c>
      <c r="C40" s="208">
        <v>-2000000</v>
      </c>
      <c r="D40" s="179"/>
      <c r="E40" s="179"/>
      <c r="F40" s="179"/>
      <c r="G40" s="179"/>
      <c r="H40" s="179"/>
      <c r="I40" s="180" t="s">
        <v>2708</v>
      </c>
      <c r="J40" s="181" t="s">
        <v>3248</v>
      </c>
      <c r="K40" s="181" t="s">
        <v>3077</v>
      </c>
      <c r="L40" s="181" t="s">
        <v>3131</v>
      </c>
      <c r="M40" s="180" t="s">
        <v>2708</v>
      </c>
      <c r="N40" s="179">
        <v>-2000000</v>
      </c>
      <c r="O40" s="180" t="s">
        <v>3236</v>
      </c>
      <c r="P40" s="180" t="s">
        <v>3396</v>
      </c>
      <c r="Q40" s="180" t="s">
        <v>3153</v>
      </c>
      <c r="R40" s="180" t="s">
        <v>3255</v>
      </c>
      <c r="S40" s="180" t="s">
        <v>3256</v>
      </c>
      <c r="T40" s="180" t="s">
        <v>3254</v>
      </c>
      <c r="U40" s="182" t="s">
        <v>3186</v>
      </c>
      <c r="V40" s="180"/>
      <c r="W40" s="180"/>
      <c r="X40" s="180" t="str">
        <f t="shared" ref="X40:X48" si="1">CONCATENATE(O40,Q40,R40,S40,T40,U40)</f>
        <v>Transfers Recognised - Capital EEDS_NC066_2017/2018_C_REV_015</v>
      </c>
      <c r="Y40" s="183" t="s">
        <v>3246</v>
      </c>
    </row>
    <row r="41" spans="1:25" ht="15" thickBot="1" x14ac:dyDescent="0.4">
      <c r="A41" s="101"/>
      <c r="B41" s="154" t="s">
        <v>2828</v>
      </c>
      <c r="C41" s="208">
        <v>-1000000</v>
      </c>
      <c r="D41" s="179"/>
      <c r="E41" s="179"/>
      <c r="F41" s="179"/>
      <c r="G41" s="179"/>
      <c r="H41" s="179"/>
      <c r="I41" s="180" t="s">
        <v>2708</v>
      </c>
      <c r="J41" s="181" t="s">
        <v>3248</v>
      </c>
      <c r="K41" s="181" t="s">
        <v>3077</v>
      </c>
      <c r="L41" s="181" t="s">
        <v>3131</v>
      </c>
      <c r="M41" s="180" t="s">
        <v>2708</v>
      </c>
      <c r="N41" s="179">
        <v>-1000000</v>
      </c>
      <c r="O41" s="180" t="s">
        <v>3237</v>
      </c>
      <c r="P41" s="180" t="s">
        <v>2763</v>
      </c>
      <c r="Q41" s="180" t="s">
        <v>3153</v>
      </c>
      <c r="R41" s="180" t="s">
        <v>3255</v>
      </c>
      <c r="S41" s="180" t="s">
        <v>3256</v>
      </c>
      <c r="T41" s="180" t="s">
        <v>3254</v>
      </c>
      <c r="U41" s="182" t="s">
        <v>3187</v>
      </c>
      <c r="V41" s="180"/>
      <c r="W41" s="180"/>
      <c r="X41" s="180" t="str">
        <f t="shared" si="1"/>
        <v>Transfers Recognised - Capital INEP_NC066_2017/2018_C_REV_016</v>
      </c>
      <c r="Y41" s="183">
        <v>2</v>
      </c>
    </row>
    <row r="42" spans="1:25" ht="15" thickBot="1" x14ac:dyDescent="0.4">
      <c r="A42" s="101"/>
      <c r="B42" s="154" t="s">
        <v>2829</v>
      </c>
      <c r="C42" s="208">
        <v>-8145000</v>
      </c>
      <c r="D42" s="179"/>
      <c r="E42" s="179"/>
      <c r="F42" s="179"/>
      <c r="G42" s="179"/>
      <c r="H42" s="179"/>
      <c r="I42" s="180" t="s">
        <v>2714</v>
      </c>
      <c r="J42" s="181" t="s">
        <v>3248</v>
      </c>
      <c r="K42" s="181" t="s">
        <v>3077</v>
      </c>
      <c r="L42" s="181" t="s">
        <v>3131</v>
      </c>
      <c r="M42" s="180" t="s">
        <v>2714</v>
      </c>
      <c r="N42" s="179">
        <v>-8145000</v>
      </c>
      <c r="O42" s="180" t="s">
        <v>3234</v>
      </c>
      <c r="P42" s="180" t="s">
        <v>3024</v>
      </c>
      <c r="Q42" s="180" t="s">
        <v>3153</v>
      </c>
      <c r="R42" s="180" t="s">
        <v>3255</v>
      </c>
      <c r="S42" s="180" t="s">
        <v>3256</v>
      </c>
      <c r="T42" s="180" t="s">
        <v>3254</v>
      </c>
      <c r="U42" s="182" t="s">
        <v>3190</v>
      </c>
      <c r="V42" s="180"/>
      <c r="W42" s="180"/>
      <c r="X42" s="180" t="str">
        <f t="shared" si="1"/>
        <v>Transfers Recognised - Capital MIG_NC066_2017/2018_C_REV_017</v>
      </c>
      <c r="Y42" s="183" t="s">
        <v>3247</v>
      </c>
    </row>
    <row r="43" spans="1:25" ht="15" thickBot="1" x14ac:dyDescent="0.4">
      <c r="A43" s="101"/>
      <c r="B43" s="154" t="s">
        <v>2830</v>
      </c>
      <c r="C43" s="179">
        <v>0</v>
      </c>
      <c r="D43" s="179"/>
      <c r="E43" s="179"/>
      <c r="F43" s="179"/>
      <c r="G43" s="179"/>
      <c r="H43" s="179"/>
      <c r="I43" s="180" t="s">
        <v>2714</v>
      </c>
      <c r="J43" s="181" t="s">
        <v>3248</v>
      </c>
      <c r="K43" s="181" t="s">
        <v>3077</v>
      </c>
      <c r="L43" s="181" t="s">
        <v>3131</v>
      </c>
      <c r="M43" s="180" t="s">
        <v>2714</v>
      </c>
      <c r="N43" s="179">
        <v>0</v>
      </c>
      <c r="O43" s="180" t="s">
        <v>3235</v>
      </c>
      <c r="P43" s="180" t="s">
        <v>2762</v>
      </c>
      <c r="Q43" s="180" t="s">
        <v>3153</v>
      </c>
      <c r="R43" s="180" t="s">
        <v>3255</v>
      </c>
      <c r="S43" s="180" t="s">
        <v>3256</v>
      </c>
      <c r="T43" s="180" t="s">
        <v>3254</v>
      </c>
      <c r="U43" s="182" t="s">
        <v>3191</v>
      </c>
      <c r="V43" s="180"/>
      <c r="W43" s="180"/>
      <c r="X43" s="180" t="str">
        <f t="shared" si="1"/>
        <v>Transfers Recognised - Capital RBIG_NC066_2017/2018_C_REV_018</v>
      </c>
      <c r="Y43" s="183">
        <v>1</v>
      </c>
    </row>
    <row r="44" spans="1:25" ht="15" thickBot="1" x14ac:dyDescent="0.4">
      <c r="A44" s="101" t="s">
        <v>13</v>
      </c>
      <c r="B44" s="154" t="s">
        <v>2831</v>
      </c>
      <c r="C44" s="208">
        <v>-4000000</v>
      </c>
      <c r="D44" s="179"/>
      <c r="E44" s="179"/>
      <c r="F44" s="179"/>
      <c r="G44" s="179"/>
      <c r="H44" s="179"/>
      <c r="I44" s="180" t="s">
        <v>2708</v>
      </c>
      <c r="J44" s="181" t="s">
        <v>3248</v>
      </c>
      <c r="K44" s="181" t="s">
        <v>3077</v>
      </c>
      <c r="L44" s="181" t="s">
        <v>3131</v>
      </c>
      <c r="M44" s="180" t="s">
        <v>2708</v>
      </c>
      <c r="N44" s="179">
        <v>-4000000</v>
      </c>
      <c r="O44" s="180" t="s">
        <v>3238</v>
      </c>
      <c r="P44" s="180" t="s">
        <v>3023</v>
      </c>
      <c r="Q44" s="180" t="s">
        <v>3153</v>
      </c>
      <c r="R44" s="180" t="s">
        <v>3255</v>
      </c>
      <c r="S44" s="180" t="s">
        <v>3256</v>
      </c>
      <c r="T44" s="180" t="s">
        <v>3254</v>
      </c>
      <c r="U44" s="182" t="s">
        <v>3193</v>
      </c>
      <c r="V44" s="180"/>
      <c r="W44" s="180"/>
      <c r="X44" s="180" t="str">
        <f t="shared" si="1"/>
        <v>Transfers Recognised - Capital WSIG_NC066_2017/2018_C_REV_019</v>
      </c>
      <c r="Y44" s="183">
        <v>1</v>
      </c>
    </row>
    <row r="45" spans="1:25" ht="15" thickBot="1" x14ac:dyDescent="0.4">
      <c r="A45" s="101"/>
      <c r="B45" s="154" t="s">
        <v>2825</v>
      </c>
      <c r="C45" s="208">
        <v>-18198000</v>
      </c>
      <c r="D45" s="179"/>
      <c r="E45" s="179"/>
      <c r="F45" s="179"/>
      <c r="G45" s="179"/>
      <c r="H45" s="179"/>
      <c r="I45" s="180" t="s">
        <v>2708</v>
      </c>
      <c r="J45" s="181" t="s">
        <v>3248</v>
      </c>
      <c r="K45" s="181" t="s">
        <v>3077</v>
      </c>
      <c r="L45" s="181" t="s">
        <v>3131</v>
      </c>
      <c r="M45" s="180" t="s">
        <v>2708</v>
      </c>
      <c r="N45" s="179">
        <v>-18198000</v>
      </c>
      <c r="O45" s="180" t="s">
        <v>3239</v>
      </c>
      <c r="P45" s="180" t="s">
        <v>2783</v>
      </c>
      <c r="Q45" s="180" t="s">
        <v>3153</v>
      </c>
      <c r="R45" s="180" t="s">
        <v>3255</v>
      </c>
      <c r="S45" s="180" t="s">
        <v>3253</v>
      </c>
      <c r="T45" s="180" t="s">
        <v>3254</v>
      </c>
      <c r="U45" s="182" t="s">
        <v>3213</v>
      </c>
      <c r="V45" s="180"/>
      <c r="W45" s="180"/>
      <c r="X45" s="180" t="str">
        <f t="shared" si="1"/>
        <v>Transfers Recognised - Operational E/Share_NC066_2017/2018_O_REV_020</v>
      </c>
      <c r="Y45" s="183" t="s">
        <v>3245</v>
      </c>
    </row>
    <row r="46" spans="1:25" ht="15" thickBot="1" x14ac:dyDescent="0.4">
      <c r="A46" s="101"/>
      <c r="B46" s="154" t="s">
        <v>2826</v>
      </c>
      <c r="C46" s="208">
        <v>-1000000</v>
      </c>
      <c r="D46" s="179"/>
      <c r="E46" s="179"/>
      <c r="F46" s="179"/>
      <c r="G46" s="179"/>
      <c r="H46" s="179"/>
      <c r="I46" s="180" t="s">
        <v>2708</v>
      </c>
      <c r="J46" s="181" t="s">
        <v>3248</v>
      </c>
      <c r="K46" s="181" t="s">
        <v>3077</v>
      </c>
      <c r="L46" s="181" t="s">
        <v>3131</v>
      </c>
      <c r="M46" s="180" t="s">
        <v>2708</v>
      </c>
      <c r="N46" s="179">
        <v>-1000000</v>
      </c>
      <c r="O46" s="180" t="s">
        <v>3240</v>
      </c>
      <c r="P46" s="180" t="s">
        <v>3203</v>
      </c>
      <c r="Q46" s="180" t="s">
        <v>3153</v>
      </c>
      <c r="R46" s="180" t="s">
        <v>3255</v>
      </c>
      <c r="S46" s="180" t="s">
        <v>3253</v>
      </c>
      <c r="T46" s="180" t="s">
        <v>3254</v>
      </c>
      <c r="U46" s="182" t="s">
        <v>3170</v>
      </c>
      <c r="V46" s="180"/>
      <c r="W46" s="180"/>
      <c r="X46" s="180" t="str">
        <f t="shared" si="1"/>
        <v>Transfers Recognised - Operational EPWP_NC066_2017/2018_O_REV_021</v>
      </c>
      <c r="Y46" s="183" t="s">
        <v>3245</v>
      </c>
    </row>
    <row r="47" spans="1:25" ht="15" thickBot="1" x14ac:dyDescent="0.4">
      <c r="A47" s="101"/>
      <c r="B47" s="154" t="s">
        <v>3001</v>
      </c>
      <c r="C47" s="208">
        <v>-1900000</v>
      </c>
      <c r="D47" s="179"/>
      <c r="E47" s="179"/>
      <c r="F47" s="179"/>
      <c r="G47" s="179"/>
      <c r="H47" s="179"/>
      <c r="I47" s="180" t="s">
        <v>2708</v>
      </c>
      <c r="J47" s="181" t="s">
        <v>3248</v>
      </c>
      <c r="K47" s="181" t="s">
        <v>3077</v>
      </c>
      <c r="L47" s="181" t="s">
        <v>3131</v>
      </c>
      <c r="M47" s="180" t="s">
        <v>2708</v>
      </c>
      <c r="N47" s="179">
        <v>-1900000</v>
      </c>
      <c r="O47" s="180" t="s">
        <v>3241</v>
      </c>
      <c r="P47" s="180" t="s">
        <v>3136</v>
      </c>
      <c r="Q47" s="180" t="s">
        <v>3153</v>
      </c>
      <c r="R47" s="180" t="s">
        <v>3255</v>
      </c>
      <c r="S47" s="180" t="s">
        <v>3253</v>
      </c>
      <c r="T47" s="180" t="s">
        <v>3254</v>
      </c>
      <c r="U47" s="182" t="s">
        <v>3206</v>
      </c>
      <c r="V47" s="180"/>
      <c r="W47" s="180"/>
      <c r="X47" s="180" t="str">
        <f t="shared" si="1"/>
        <v>Transfers Recognised - Operational FMG_NC066_2017/2018_O_REV_022</v>
      </c>
      <c r="Y47" s="183" t="s">
        <v>3245</v>
      </c>
    </row>
    <row r="48" spans="1:25" ht="15" thickBot="1" x14ac:dyDescent="0.4">
      <c r="A48" s="101"/>
      <c r="B48" s="158" t="s">
        <v>2827</v>
      </c>
      <c r="C48" s="159">
        <v>0</v>
      </c>
      <c r="D48" s="159"/>
      <c r="E48" s="159"/>
      <c r="F48" s="159"/>
      <c r="G48" s="159"/>
      <c r="H48" s="159"/>
      <c r="I48" s="160" t="s">
        <v>2708</v>
      </c>
      <c r="J48" s="161" t="s">
        <v>3248</v>
      </c>
      <c r="K48" s="161" t="s">
        <v>3077</v>
      </c>
      <c r="L48" s="161" t="s">
        <v>3131</v>
      </c>
      <c r="M48" s="160" t="s">
        <v>2708</v>
      </c>
      <c r="N48" s="159">
        <v>0</v>
      </c>
      <c r="O48" s="160" t="s">
        <v>3243</v>
      </c>
      <c r="P48" s="160" t="s">
        <v>2782</v>
      </c>
      <c r="Q48" s="160" t="s">
        <v>3153</v>
      </c>
      <c r="R48" s="160" t="s">
        <v>3255</v>
      </c>
      <c r="S48" s="160" t="s">
        <v>3253</v>
      </c>
      <c r="T48" s="160" t="s">
        <v>3254</v>
      </c>
      <c r="U48" s="162" t="s">
        <v>3207</v>
      </c>
      <c r="V48" s="160"/>
      <c r="W48" s="160"/>
      <c r="X48" s="160" t="str">
        <f t="shared" si="1"/>
        <v>Transfers Recognised - Operational MSIG_NC066_2017/2018_O_REV_023</v>
      </c>
      <c r="Y48" s="163" t="s">
        <v>3245</v>
      </c>
    </row>
    <row r="49" spans="1:25" x14ac:dyDescent="0.35">
      <c r="A49" s="101"/>
      <c r="B49" s="158" t="s">
        <v>2899</v>
      </c>
      <c r="C49" s="210">
        <v>-6300</v>
      </c>
      <c r="D49" s="159"/>
      <c r="E49" s="159"/>
      <c r="F49" s="159"/>
      <c r="G49" s="159"/>
      <c r="H49" s="159"/>
      <c r="I49" s="160" t="s">
        <v>2716</v>
      </c>
      <c r="J49" s="161" t="s">
        <v>3248</v>
      </c>
      <c r="K49" s="161" t="s">
        <v>3090</v>
      </c>
      <c r="L49" s="161" t="s">
        <v>3131</v>
      </c>
      <c r="M49" s="160" t="s">
        <v>2716</v>
      </c>
      <c r="N49" s="159">
        <v>-6300</v>
      </c>
      <c r="O49" s="160" t="s">
        <v>3224</v>
      </c>
      <c r="P49" s="160" t="s">
        <v>3265</v>
      </c>
      <c r="Q49" s="160" t="s">
        <v>3153</v>
      </c>
      <c r="R49" s="160" t="s">
        <v>3255</v>
      </c>
      <c r="S49" s="160" t="s">
        <v>3253</v>
      </c>
      <c r="T49" s="160" t="s">
        <v>3254</v>
      </c>
      <c r="U49" s="162" t="s">
        <v>3200</v>
      </c>
      <c r="V49" s="160"/>
      <c r="W49" s="160"/>
      <c r="X49" s="160" t="str">
        <f>CONCATENATE(P49,Q49,R49,S49,T49,U49)</f>
        <v>Rentals of Sites, Buildings and Hiring of Halls_NC066_2017/2018_O_REV_024</v>
      </c>
      <c r="Y49" s="163" t="s">
        <v>3245</v>
      </c>
    </row>
    <row r="50" spans="1:25" x14ac:dyDescent="0.35">
      <c r="A50" s="101" t="s">
        <v>131</v>
      </c>
      <c r="B50" s="171" t="s">
        <v>2873</v>
      </c>
      <c r="C50" s="209">
        <v>-252200</v>
      </c>
      <c r="D50" s="114"/>
      <c r="E50" s="114"/>
      <c r="F50" s="114"/>
      <c r="G50" s="114"/>
      <c r="H50" s="114"/>
      <c r="I50" s="30" t="s">
        <v>2716</v>
      </c>
      <c r="J50" s="156" t="s">
        <v>3248</v>
      </c>
      <c r="K50" s="156" t="s">
        <v>3090</v>
      </c>
      <c r="L50" s="156" t="s">
        <v>3131</v>
      </c>
      <c r="M50" s="30" t="s">
        <v>2716</v>
      </c>
      <c r="N50" s="114">
        <v>-252200</v>
      </c>
      <c r="O50" s="30"/>
      <c r="P50" s="30"/>
      <c r="Q50" s="30" t="s">
        <v>0</v>
      </c>
      <c r="R50" s="30" t="s">
        <v>0</v>
      </c>
      <c r="S50" s="30" t="s">
        <v>0</v>
      </c>
      <c r="T50" s="30" t="s">
        <v>0</v>
      </c>
      <c r="U50" s="173"/>
      <c r="V50" s="30"/>
      <c r="W50" s="30"/>
      <c r="X50" s="30" t="str">
        <f t="shared" ref="X50:X55" si="2">CONCATENATE(O50,Q50,R50,S50,T50,U50)</f>
        <v xml:space="preserve">    </v>
      </c>
      <c r="Y50" s="172"/>
    </row>
    <row r="51" spans="1:25" x14ac:dyDescent="0.35">
      <c r="A51" s="101" t="s">
        <v>129</v>
      </c>
      <c r="B51" s="171" t="s">
        <v>2867</v>
      </c>
      <c r="C51" s="209">
        <v>-98000</v>
      </c>
      <c r="D51" s="114"/>
      <c r="E51" s="114"/>
      <c r="F51" s="114"/>
      <c r="G51" s="114"/>
      <c r="H51" s="114"/>
      <c r="I51" s="30" t="s">
        <v>2716</v>
      </c>
      <c r="J51" s="156" t="s">
        <v>3248</v>
      </c>
      <c r="K51" s="156" t="s">
        <v>3090</v>
      </c>
      <c r="L51" s="156" t="s">
        <v>3131</v>
      </c>
      <c r="M51" s="30" t="s">
        <v>2716</v>
      </c>
      <c r="N51" s="114">
        <v>-98000</v>
      </c>
      <c r="O51" s="30"/>
      <c r="P51" s="30"/>
      <c r="Q51" s="30"/>
      <c r="R51" s="30"/>
      <c r="S51" s="30"/>
      <c r="T51" s="30"/>
      <c r="U51" s="173"/>
      <c r="V51" s="30"/>
      <c r="W51" s="30"/>
      <c r="X51" s="30" t="str">
        <f t="shared" si="2"/>
        <v/>
      </c>
      <c r="Y51" s="172"/>
    </row>
    <row r="52" spans="1:25" x14ac:dyDescent="0.35">
      <c r="A52" s="101" t="s">
        <v>127</v>
      </c>
      <c r="B52" s="171" t="s">
        <v>2868</v>
      </c>
      <c r="C52" s="209">
        <v>-74000</v>
      </c>
      <c r="D52" s="114"/>
      <c r="E52" s="114"/>
      <c r="F52" s="114"/>
      <c r="G52" s="114"/>
      <c r="H52" s="114"/>
      <c r="I52" s="30" t="s">
        <v>2716</v>
      </c>
      <c r="J52" s="156" t="s">
        <v>3248</v>
      </c>
      <c r="K52" s="156" t="s">
        <v>3090</v>
      </c>
      <c r="L52" s="156" t="s">
        <v>3131</v>
      </c>
      <c r="M52" s="30" t="s">
        <v>2716</v>
      </c>
      <c r="N52" s="114">
        <v>-74000</v>
      </c>
      <c r="O52" s="30"/>
      <c r="P52" s="30"/>
      <c r="Q52" s="30"/>
      <c r="R52" s="30"/>
      <c r="S52" s="30"/>
      <c r="T52" s="30"/>
      <c r="U52" s="173"/>
      <c r="V52" s="30"/>
      <c r="W52" s="30"/>
      <c r="X52" s="30" t="str">
        <f t="shared" si="2"/>
        <v/>
      </c>
      <c r="Y52" s="172"/>
    </row>
    <row r="53" spans="1:25" x14ac:dyDescent="0.35">
      <c r="A53" s="101" t="s">
        <v>133</v>
      </c>
      <c r="B53" s="171" t="s">
        <v>2869</v>
      </c>
      <c r="C53" s="209">
        <v>-27400</v>
      </c>
      <c r="D53" s="114"/>
      <c r="E53" s="114"/>
      <c r="F53" s="114"/>
      <c r="G53" s="114"/>
      <c r="H53" s="114"/>
      <c r="I53" s="30" t="s">
        <v>2716</v>
      </c>
      <c r="J53" s="156" t="s">
        <v>3248</v>
      </c>
      <c r="K53" s="156" t="s">
        <v>3090</v>
      </c>
      <c r="L53" s="156" t="s">
        <v>3131</v>
      </c>
      <c r="M53" s="30" t="s">
        <v>2716</v>
      </c>
      <c r="N53" s="114">
        <v>-27400</v>
      </c>
      <c r="O53" s="30"/>
      <c r="P53" s="30"/>
      <c r="Q53" s="30"/>
      <c r="R53" s="30"/>
      <c r="S53" s="30"/>
      <c r="T53" s="30"/>
      <c r="U53" s="173"/>
      <c r="V53" s="30"/>
      <c r="W53" s="30"/>
      <c r="X53" s="30" t="str">
        <f t="shared" si="2"/>
        <v/>
      </c>
      <c r="Y53" s="172"/>
    </row>
    <row r="54" spans="1:25" x14ac:dyDescent="0.35">
      <c r="A54" s="101"/>
      <c r="B54" s="171" t="s">
        <v>2866</v>
      </c>
      <c r="C54" s="209">
        <v>-35500</v>
      </c>
      <c r="D54" s="114"/>
      <c r="E54" s="114"/>
      <c r="F54" s="114"/>
      <c r="G54" s="114"/>
      <c r="H54" s="114"/>
      <c r="I54" s="30" t="s">
        <v>2716</v>
      </c>
      <c r="J54" s="156" t="s">
        <v>3248</v>
      </c>
      <c r="K54" s="156" t="s">
        <v>3090</v>
      </c>
      <c r="L54" s="156" t="s">
        <v>3131</v>
      </c>
      <c r="M54" s="30" t="s">
        <v>2716</v>
      </c>
      <c r="N54" s="114">
        <v>-35500</v>
      </c>
      <c r="O54" s="30"/>
      <c r="P54" s="30"/>
      <c r="Q54" s="30"/>
      <c r="R54" s="30"/>
      <c r="S54" s="30"/>
      <c r="T54" s="30"/>
      <c r="U54" s="173"/>
      <c r="V54" s="30"/>
      <c r="W54" s="30"/>
      <c r="X54" s="30" t="str">
        <f t="shared" si="2"/>
        <v/>
      </c>
      <c r="Y54" s="172"/>
    </row>
    <row r="55" spans="1:25" ht="15" thickBot="1" x14ac:dyDescent="0.4">
      <c r="A55" s="101"/>
      <c r="B55" s="171" t="s">
        <v>2870</v>
      </c>
      <c r="C55" s="114">
        <v>-1200</v>
      </c>
      <c r="D55" s="114"/>
      <c r="E55" s="114"/>
      <c r="F55" s="114"/>
      <c r="G55" s="114"/>
      <c r="H55" s="114"/>
      <c r="I55" s="30" t="s">
        <v>2716</v>
      </c>
      <c r="J55" s="156" t="s">
        <v>3248</v>
      </c>
      <c r="K55" s="156" t="s">
        <v>3090</v>
      </c>
      <c r="L55" s="156" t="s">
        <v>3131</v>
      </c>
      <c r="M55" s="30" t="s">
        <v>2716</v>
      </c>
      <c r="N55" s="114">
        <v>-1200</v>
      </c>
      <c r="O55" s="30"/>
      <c r="P55" s="30"/>
      <c r="Q55" s="30"/>
      <c r="R55" s="30"/>
      <c r="S55" s="30"/>
      <c r="T55" s="30"/>
      <c r="U55" s="173"/>
      <c r="V55" s="30"/>
      <c r="W55" s="30"/>
      <c r="X55" s="30" t="str">
        <f t="shared" si="2"/>
        <v/>
      </c>
      <c r="Y55" s="172"/>
    </row>
    <row r="56" spans="1:25" x14ac:dyDescent="0.35">
      <c r="A56" s="101"/>
      <c r="B56" s="158" t="s">
        <v>2965</v>
      </c>
      <c r="C56" s="210">
        <v>-80700</v>
      </c>
      <c r="D56" s="159"/>
      <c r="E56" s="159"/>
      <c r="F56" s="159"/>
      <c r="G56" s="159"/>
      <c r="H56" s="159"/>
      <c r="I56" s="160" t="s">
        <v>2712</v>
      </c>
      <c r="J56" s="161" t="s">
        <v>3248</v>
      </c>
      <c r="K56" s="161" t="s">
        <v>3078</v>
      </c>
      <c r="L56" s="161" t="s">
        <v>3131</v>
      </c>
      <c r="M56" s="160" t="s">
        <v>2712</v>
      </c>
      <c r="N56" s="159">
        <v>-80700</v>
      </c>
      <c r="O56" s="160" t="s">
        <v>3226</v>
      </c>
      <c r="P56" s="160" t="s">
        <v>3266</v>
      </c>
      <c r="Q56" s="160" t="s">
        <v>3153</v>
      </c>
      <c r="R56" s="160" t="s">
        <v>3255</v>
      </c>
      <c r="S56" s="160" t="s">
        <v>3253</v>
      </c>
      <c r="T56" s="160" t="s">
        <v>3254</v>
      </c>
      <c r="U56" s="162" t="s">
        <v>3208</v>
      </c>
      <c r="V56" s="160"/>
      <c r="W56" s="160"/>
      <c r="X56" s="160" t="str">
        <f>CONCATENATE(O56,"_",P56,Q56,R56,S56,T56,U56)</f>
        <v>Interest Earned - Outstanding Debtors_Interest Levied: Electricity, Rates, Refuse, Sanitation, Water, Other and Late Accounts_NC066_2017/2018_O_REV_025</v>
      </c>
      <c r="Y56" s="163" t="s">
        <v>3245</v>
      </c>
    </row>
    <row r="57" spans="1:25" x14ac:dyDescent="0.35">
      <c r="A57" s="101"/>
      <c r="B57" s="171" t="s">
        <v>2967</v>
      </c>
      <c r="C57" s="114">
        <v>-3000</v>
      </c>
      <c r="D57" s="114"/>
      <c r="E57" s="114"/>
      <c r="F57" s="114"/>
      <c r="G57" s="114"/>
      <c r="H57" s="114"/>
      <c r="I57" s="30" t="s">
        <v>2712</v>
      </c>
      <c r="J57" s="156" t="s">
        <v>3248</v>
      </c>
      <c r="K57" s="156" t="s">
        <v>3078</v>
      </c>
      <c r="L57" s="156" t="s">
        <v>3131</v>
      </c>
      <c r="M57" s="30" t="s">
        <v>2712</v>
      </c>
      <c r="N57" s="114">
        <v>-3000</v>
      </c>
      <c r="O57" s="30"/>
      <c r="P57" s="30"/>
      <c r="Q57" s="30"/>
      <c r="R57" s="30"/>
      <c r="S57" s="30"/>
      <c r="T57" s="30"/>
      <c r="U57" s="173"/>
      <c r="V57" s="30"/>
      <c r="W57" s="30"/>
      <c r="X57" s="30" t="str">
        <f t="shared" ref="X57:X62" si="3">CONCATENATE(O57,Q57,R57,S57,T57,U57)</f>
        <v/>
      </c>
      <c r="Y57" s="172"/>
    </row>
    <row r="58" spans="1:25" x14ac:dyDescent="0.35">
      <c r="A58" s="101"/>
      <c r="B58" s="171" t="s">
        <v>2968</v>
      </c>
      <c r="C58" s="209">
        <v>-331000</v>
      </c>
      <c r="D58" s="114"/>
      <c r="E58" s="114"/>
      <c r="F58" s="114"/>
      <c r="G58" s="114"/>
      <c r="H58" s="114"/>
      <c r="I58" s="30" t="s">
        <v>2712</v>
      </c>
      <c r="J58" s="156" t="s">
        <v>3248</v>
      </c>
      <c r="K58" s="156" t="s">
        <v>3078</v>
      </c>
      <c r="L58" s="156" t="s">
        <v>3131</v>
      </c>
      <c r="M58" s="30" t="s">
        <v>2712</v>
      </c>
      <c r="N58" s="114">
        <v>-331000</v>
      </c>
      <c r="O58" s="30"/>
      <c r="P58" s="30"/>
      <c r="Q58" s="30"/>
      <c r="R58" s="30"/>
      <c r="S58" s="30"/>
      <c r="T58" s="30"/>
      <c r="U58" s="173"/>
      <c r="V58" s="30"/>
      <c r="W58" s="30"/>
      <c r="X58" s="30" t="str">
        <f t="shared" si="3"/>
        <v/>
      </c>
      <c r="Y58" s="172"/>
    </row>
    <row r="59" spans="1:25" x14ac:dyDescent="0.35">
      <c r="A59" s="101"/>
      <c r="B59" s="171" t="s">
        <v>2966</v>
      </c>
      <c r="C59" s="209">
        <v>-376000</v>
      </c>
      <c r="D59" s="114"/>
      <c r="E59" s="114"/>
      <c r="F59" s="114"/>
      <c r="G59" s="114"/>
      <c r="H59" s="114"/>
      <c r="I59" s="30" t="s">
        <v>2712</v>
      </c>
      <c r="J59" s="156" t="s">
        <v>3248</v>
      </c>
      <c r="K59" s="156" t="s">
        <v>3078</v>
      </c>
      <c r="L59" s="156" t="s">
        <v>3131</v>
      </c>
      <c r="M59" s="30" t="s">
        <v>2712</v>
      </c>
      <c r="N59" s="114">
        <v>-376000</v>
      </c>
      <c r="O59" s="30"/>
      <c r="P59" s="30"/>
      <c r="Q59" s="30"/>
      <c r="R59" s="30"/>
      <c r="S59" s="30"/>
      <c r="T59" s="30"/>
      <c r="U59" s="173"/>
      <c r="V59" s="30"/>
      <c r="W59" s="30"/>
      <c r="X59" s="30" t="str">
        <f t="shared" si="3"/>
        <v/>
      </c>
      <c r="Y59" s="172"/>
    </row>
    <row r="60" spans="1:25" x14ac:dyDescent="0.35">
      <c r="A60" s="101"/>
      <c r="B60" s="171" t="s">
        <v>2963</v>
      </c>
      <c r="C60" s="209">
        <v>-359800</v>
      </c>
      <c r="D60" s="114"/>
      <c r="E60" s="114"/>
      <c r="F60" s="114"/>
      <c r="G60" s="114"/>
      <c r="H60" s="114"/>
      <c r="I60" s="30" t="s">
        <v>2712</v>
      </c>
      <c r="J60" s="156" t="s">
        <v>3248</v>
      </c>
      <c r="K60" s="156" t="s">
        <v>3078</v>
      </c>
      <c r="L60" s="156" t="s">
        <v>3131</v>
      </c>
      <c r="M60" s="30" t="s">
        <v>2712</v>
      </c>
      <c r="N60" s="114">
        <v>-359800</v>
      </c>
      <c r="O60" s="30"/>
      <c r="P60" s="30"/>
      <c r="Q60" s="30"/>
      <c r="R60" s="30"/>
      <c r="S60" s="30"/>
      <c r="T60" s="30"/>
      <c r="U60" s="173"/>
      <c r="V60" s="30"/>
      <c r="W60" s="30"/>
      <c r="X60" s="30" t="str">
        <f t="shared" si="3"/>
        <v/>
      </c>
      <c r="Y60" s="172"/>
    </row>
    <row r="61" spans="1:25" x14ac:dyDescent="0.35">
      <c r="A61" s="101"/>
      <c r="B61" s="171" t="s">
        <v>2964</v>
      </c>
      <c r="C61" s="209">
        <v>-394200</v>
      </c>
      <c r="D61" s="114"/>
      <c r="E61" s="114"/>
      <c r="F61" s="114"/>
      <c r="G61" s="114"/>
      <c r="H61" s="114"/>
      <c r="I61" s="30" t="s">
        <v>2712</v>
      </c>
      <c r="J61" s="156" t="s">
        <v>3248</v>
      </c>
      <c r="K61" s="156" t="s">
        <v>3078</v>
      </c>
      <c r="L61" s="156" t="s">
        <v>3131</v>
      </c>
      <c r="M61" s="30" t="s">
        <v>2712</v>
      </c>
      <c r="N61" s="114">
        <v>-394200</v>
      </c>
      <c r="O61" s="30"/>
      <c r="P61" s="30"/>
      <c r="Q61" s="30"/>
      <c r="R61" s="30"/>
      <c r="S61" s="30"/>
      <c r="T61" s="30"/>
      <c r="U61" s="173"/>
      <c r="V61" s="30"/>
      <c r="W61" s="30"/>
      <c r="X61" s="30" t="str">
        <f t="shared" si="3"/>
        <v/>
      </c>
      <c r="Y61" s="172"/>
    </row>
    <row r="62" spans="1:25" ht="15" thickBot="1" x14ac:dyDescent="0.4">
      <c r="A62" s="101"/>
      <c r="B62" s="171" t="s">
        <v>2837</v>
      </c>
      <c r="C62" s="114">
        <v>0</v>
      </c>
      <c r="D62" s="114"/>
      <c r="E62" s="114"/>
      <c r="F62" s="114"/>
      <c r="G62" s="114"/>
      <c r="H62" s="114"/>
      <c r="I62" s="30" t="s">
        <v>2712</v>
      </c>
      <c r="J62" s="156" t="s">
        <v>3248</v>
      </c>
      <c r="K62" s="156" t="s">
        <v>3078</v>
      </c>
      <c r="L62" s="156" t="s">
        <v>3131</v>
      </c>
      <c r="M62" s="30" t="s">
        <v>2712</v>
      </c>
      <c r="N62" s="114">
        <v>0</v>
      </c>
      <c r="O62" s="30"/>
      <c r="P62" s="30"/>
      <c r="Q62" s="30"/>
      <c r="R62" s="30"/>
      <c r="S62" s="30"/>
      <c r="T62" s="30"/>
      <c r="U62" s="173"/>
      <c r="V62" s="30"/>
      <c r="W62" s="30"/>
      <c r="X62" s="30" t="str">
        <f t="shared" si="3"/>
        <v/>
      </c>
      <c r="Y62" s="172"/>
    </row>
    <row r="63" spans="1:25" x14ac:dyDescent="0.35">
      <c r="A63" s="101"/>
      <c r="B63" s="158" t="s">
        <v>2836</v>
      </c>
      <c r="C63" s="159">
        <v>0</v>
      </c>
      <c r="D63" s="159"/>
      <c r="E63" s="159"/>
      <c r="F63" s="159"/>
      <c r="G63" s="159"/>
      <c r="H63" s="159"/>
      <c r="I63" s="160" t="s">
        <v>2710</v>
      </c>
      <c r="J63" s="161" t="s">
        <v>3248</v>
      </c>
      <c r="K63" s="161" t="s">
        <v>3076</v>
      </c>
      <c r="L63" s="161" t="s">
        <v>3131</v>
      </c>
      <c r="M63" s="160" t="s">
        <v>2710</v>
      </c>
      <c r="N63" s="159">
        <v>0</v>
      </c>
      <c r="O63" s="160" t="s">
        <v>3228</v>
      </c>
      <c r="P63" s="160"/>
      <c r="Q63" s="160" t="s">
        <v>3153</v>
      </c>
      <c r="R63" s="160" t="s">
        <v>3255</v>
      </c>
      <c r="S63" s="160" t="s">
        <v>3253</v>
      </c>
      <c r="T63" s="160" t="s">
        <v>3254</v>
      </c>
      <c r="U63" s="162" t="s">
        <v>3171</v>
      </c>
      <c r="V63" s="160"/>
      <c r="W63" s="160"/>
      <c r="X63" s="160" t="str">
        <f>CONCATENATE(O63,P63,Q63,R63,S63,T63,U63)</f>
        <v>Gains on Disposal of PPE_NC066_2017/2018_O_REV_026</v>
      </c>
      <c r="Y63" s="163" t="s">
        <v>3245</v>
      </c>
    </row>
    <row r="64" spans="1:25" ht="15" thickBot="1" x14ac:dyDescent="0.4">
      <c r="A64" s="101"/>
      <c r="B64" s="171" t="s">
        <v>2838</v>
      </c>
      <c r="C64" s="209">
        <v>-299900</v>
      </c>
      <c r="D64" s="114"/>
      <c r="E64" s="114"/>
      <c r="F64" s="114"/>
      <c r="G64" s="114"/>
      <c r="H64" s="114"/>
      <c r="I64" s="30" t="s">
        <v>2711</v>
      </c>
      <c r="J64" s="156" t="s">
        <v>3248</v>
      </c>
      <c r="K64" s="156" t="s">
        <v>3076</v>
      </c>
      <c r="L64" s="156" t="s">
        <v>3131</v>
      </c>
      <c r="M64" s="30" t="s">
        <v>2711</v>
      </c>
      <c r="N64" s="114">
        <v>-299900</v>
      </c>
      <c r="O64" s="30" t="s">
        <v>3227</v>
      </c>
      <c r="P64" s="30"/>
      <c r="Q64" s="30" t="s">
        <v>3153</v>
      </c>
      <c r="R64" s="30" t="s">
        <v>3255</v>
      </c>
      <c r="S64" s="30" t="s">
        <v>3253</v>
      </c>
      <c r="T64" s="30" t="s">
        <v>3254</v>
      </c>
      <c r="U64" s="157" t="s">
        <v>3204</v>
      </c>
      <c r="V64" s="30"/>
      <c r="W64" s="30"/>
      <c r="X64" s="30" t="str">
        <f t="shared" ref="X64:X77" si="4">CONCATENATE(O64,Q64,R64,S64,T64,U64)</f>
        <v>Interest Earned - External Investments_NC066_2017/2018_O_REV_027</v>
      </c>
      <c r="Y64" s="172" t="s">
        <v>3245</v>
      </c>
    </row>
    <row r="65" spans="1:25" x14ac:dyDescent="0.35">
      <c r="A65" s="101"/>
      <c r="B65" s="158" t="s">
        <v>2835</v>
      </c>
      <c r="C65" s="210">
        <v>-4690000</v>
      </c>
      <c r="D65" s="159"/>
      <c r="E65" s="159"/>
      <c r="F65" s="159"/>
      <c r="G65" s="159"/>
      <c r="H65" s="159"/>
      <c r="I65" s="160" t="s">
        <v>2717</v>
      </c>
      <c r="J65" s="161" t="s">
        <v>3248</v>
      </c>
      <c r="K65" s="161" t="s">
        <v>3092</v>
      </c>
      <c r="L65" s="161" t="s">
        <v>3131</v>
      </c>
      <c r="M65" s="160" t="s">
        <v>2717</v>
      </c>
      <c r="N65" s="159">
        <v>-4690000</v>
      </c>
      <c r="O65" s="160" t="s">
        <v>3225</v>
      </c>
      <c r="P65" s="160"/>
      <c r="Q65" s="160" t="s">
        <v>3153</v>
      </c>
      <c r="R65" s="160" t="s">
        <v>3255</v>
      </c>
      <c r="S65" s="160" t="s">
        <v>3253</v>
      </c>
      <c r="T65" s="160" t="s">
        <v>3254</v>
      </c>
      <c r="U65" s="162" t="s">
        <v>3214</v>
      </c>
      <c r="V65" s="160"/>
      <c r="W65" s="160"/>
      <c r="X65" s="160" t="str">
        <f t="shared" si="4"/>
        <v>Service Charges - Electricity Revenue_NC066_2017/2018_O_REV_028</v>
      </c>
      <c r="Y65" s="163" t="s">
        <v>3246</v>
      </c>
    </row>
    <row r="66" spans="1:25" ht="15" thickBot="1" x14ac:dyDescent="0.4">
      <c r="A66" s="101"/>
      <c r="B66" s="164" t="s">
        <v>2949</v>
      </c>
      <c r="C66" s="211">
        <v>-5820000</v>
      </c>
      <c r="D66" s="165"/>
      <c r="E66" s="165"/>
      <c r="F66" s="165"/>
      <c r="G66" s="165"/>
      <c r="H66" s="165"/>
      <c r="I66" s="166" t="s">
        <v>2717</v>
      </c>
      <c r="J66" s="167" t="s">
        <v>3248</v>
      </c>
      <c r="K66" s="167" t="s">
        <v>3092</v>
      </c>
      <c r="L66" s="167" t="s">
        <v>3131</v>
      </c>
      <c r="M66" s="166" t="s">
        <v>2717</v>
      </c>
      <c r="N66" s="165">
        <v>-5820000</v>
      </c>
      <c r="O66" s="166"/>
      <c r="P66" s="166"/>
      <c r="Q66" s="166"/>
      <c r="R66" s="166"/>
      <c r="S66" s="166"/>
      <c r="T66" s="166"/>
      <c r="U66" s="174"/>
      <c r="V66" s="166"/>
      <c r="W66" s="166"/>
      <c r="X66" s="166" t="str">
        <f t="shared" si="4"/>
        <v/>
      </c>
      <c r="Y66" s="170"/>
    </row>
    <row r="67" spans="1:25" x14ac:dyDescent="0.35">
      <c r="A67" s="101"/>
      <c r="B67" s="171" t="s">
        <v>2948</v>
      </c>
      <c r="C67" s="114">
        <v>0</v>
      </c>
      <c r="D67" s="114"/>
      <c r="E67" s="114"/>
      <c r="F67" s="114"/>
      <c r="G67" s="114"/>
      <c r="H67" s="114"/>
      <c r="I67" s="30" t="s">
        <v>2747</v>
      </c>
      <c r="J67" s="156" t="s">
        <v>3248</v>
      </c>
      <c r="K67" s="156" t="s">
        <v>3092</v>
      </c>
      <c r="L67" s="156" t="s">
        <v>3131</v>
      </c>
      <c r="M67" s="30" t="s">
        <v>2747</v>
      </c>
      <c r="N67" s="114">
        <v>0</v>
      </c>
      <c r="O67" s="30" t="s">
        <v>3139</v>
      </c>
      <c r="P67" s="30"/>
      <c r="Q67" s="30" t="s">
        <v>3153</v>
      </c>
      <c r="R67" s="30" t="s">
        <v>3255</v>
      </c>
      <c r="S67" s="30" t="s">
        <v>3253</v>
      </c>
      <c r="T67" s="30" t="s">
        <v>3254</v>
      </c>
      <c r="U67" s="157" t="s">
        <v>3218</v>
      </c>
      <c r="V67" s="30"/>
      <c r="W67" s="30"/>
      <c r="X67" s="30" t="str">
        <f t="shared" si="4"/>
        <v>Property Rates_NC066_2017/2018_O_REV_029</v>
      </c>
      <c r="Y67" s="172" t="s">
        <v>3245</v>
      </c>
    </row>
    <row r="68" spans="1:25" x14ac:dyDescent="0.35">
      <c r="A68" s="101"/>
      <c r="B68" s="171" t="s">
        <v>2939</v>
      </c>
      <c r="C68" s="209">
        <v>-9831000</v>
      </c>
      <c r="D68" s="114"/>
      <c r="E68" s="114"/>
      <c r="F68" s="114"/>
      <c r="G68" s="114"/>
      <c r="H68" s="114"/>
      <c r="I68" s="30" t="s">
        <v>2715</v>
      </c>
      <c r="J68" s="156" t="s">
        <v>3248</v>
      </c>
      <c r="K68" s="156" t="s">
        <v>3092</v>
      </c>
      <c r="L68" s="156" t="s">
        <v>3131</v>
      </c>
      <c r="M68" s="30" t="s">
        <v>2715</v>
      </c>
      <c r="N68" s="114">
        <v>-9831000</v>
      </c>
      <c r="O68" s="30"/>
      <c r="P68" s="30"/>
      <c r="Q68" s="30"/>
      <c r="R68" s="30"/>
      <c r="S68" s="30"/>
      <c r="T68" s="30"/>
      <c r="U68" s="173"/>
      <c r="V68" s="30"/>
      <c r="W68" s="30"/>
      <c r="X68" s="30" t="str">
        <f t="shared" si="4"/>
        <v/>
      </c>
      <c r="Y68" s="172"/>
    </row>
    <row r="69" spans="1:25" x14ac:dyDescent="0.35">
      <c r="A69" s="101"/>
      <c r="B69" s="171" t="s">
        <v>2947</v>
      </c>
      <c r="C69" s="114">
        <v>23000</v>
      </c>
      <c r="D69" s="114"/>
      <c r="E69" s="114"/>
      <c r="F69" s="114"/>
      <c r="G69" s="114"/>
      <c r="H69" s="114"/>
      <c r="I69" s="30" t="s">
        <v>2747</v>
      </c>
      <c r="J69" s="156" t="s">
        <v>3248</v>
      </c>
      <c r="K69" s="156" t="s">
        <v>3092</v>
      </c>
      <c r="L69" s="156" t="s">
        <v>3131</v>
      </c>
      <c r="M69" s="30" t="s">
        <v>2747</v>
      </c>
      <c r="N69" s="114">
        <v>23000</v>
      </c>
      <c r="O69" s="30"/>
      <c r="P69" s="30"/>
      <c r="Q69" s="30"/>
      <c r="R69" s="30"/>
      <c r="S69" s="30"/>
      <c r="T69" s="30"/>
      <c r="U69" s="173"/>
      <c r="V69" s="30"/>
      <c r="W69" s="30"/>
      <c r="X69" s="30" t="str">
        <f t="shared" si="4"/>
        <v/>
      </c>
      <c r="Y69" s="172"/>
    </row>
    <row r="70" spans="1:25" x14ac:dyDescent="0.35">
      <c r="A70" s="101"/>
      <c r="B70" s="171" t="s">
        <v>3070</v>
      </c>
      <c r="C70" s="114">
        <v>0</v>
      </c>
      <c r="D70" s="114"/>
      <c r="E70" s="114"/>
      <c r="F70" s="114"/>
      <c r="G70" s="114"/>
      <c r="H70" s="114"/>
      <c r="I70" s="30" t="s">
        <v>2747</v>
      </c>
      <c r="J70" s="156" t="s">
        <v>3248</v>
      </c>
      <c r="K70" s="156" t="s">
        <v>3092</v>
      </c>
      <c r="L70" s="156" t="s">
        <v>3131</v>
      </c>
      <c r="M70" s="30" t="s">
        <v>2747</v>
      </c>
      <c r="N70" s="114">
        <v>0</v>
      </c>
      <c r="O70" s="30"/>
      <c r="P70" s="30"/>
      <c r="Q70" s="30"/>
      <c r="R70" s="30"/>
      <c r="S70" s="30"/>
      <c r="T70" s="30"/>
      <c r="U70" s="173"/>
      <c r="V70" s="30"/>
      <c r="W70" s="30"/>
      <c r="X70" s="30" t="str">
        <f t="shared" si="4"/>
        <v/>
      </c>
      <c r="Y70" s="172"/>
    </row>
    <row r="71" spans="1:25" x14ac:dyDescent="0.35">
      <c r="A71" s="101"/>
      <c r="B71" s="171" t="s">
        <v>3069</v>
      </c>
      <c r="C71" s="114">
        <v>3025000</v>
      </c>
      <c r="D71" s="114"/>
      <c r="E71" s="114"/>
      <c r="F71" s="114"/>
      <c r="G71" s="114"/>
      <c r="H71" s="114"/>
      <c r="I71" s="30" t="s">
        <v>2747</v>
      </c>
      <c r="J71" s="156" t="s">
        <v>3248</v>
      </c>
      <c r="K71" s="156" t="s">
        <v>3092</v>
      </c>
      <c r="L71" s="156" t="s">
        <v>3131</v>
      </c>
      <c r="M71" s="30" t="s">
        <v>2747</v>
      </c>
      <c r="N71" s="114">
        <v>3025000</v>
      </c>
      <c r="O71" s="30"/>
      <c r="P71" s="30"/>
      <c r="Q71" s="30"/>
      <c r="R71" s="30"/>
      <c r="S71" s="30"/>
      <c r="T71" s="30"/>
      <c r="U71" s="173"/>
      <c r="V71" s="30"/>
      <c r="W71" s="30"/>
      <c r="X71" s="30" t="str">
        <f t="shared" si="4"/>
        <v/>
      </c>
      <c r="Y71" s="172"/>
    </row>
    <row r="72" spans="1:25" ht="15" thickBot="1" x14ac:dyDescent="0.4">
      <c r="A72" s="101"/>
      <c r="B72" s="171" t="s">
        <v>2946</v>
      </c>
      <c r="C72" s="114">
        <v>40000</v>
      </c>
      <c r="D72" s="114"/>
      <c r="E72" s="114"/>
      <c r="F72" s="114"/>
      <c r="G72" s="114"/>
      <c r="H72" s="114"/>
      <c r="I72" s="30" t="s">
        <v>2747</v>
      </c>
      <c r="J72" s="156" t="s">
        <v>3248</v>
      </c>
      <c r="K72" s="156" t="s">
        <v>3092</v>
      </c>
      <c r="L72" s="156" t="s">
        <v>3131</v>
      </c>
      <c r="M72" s="30" t="s">
        <v>2747</v>
      </c>
      <c r="N72" s="114">
        <v>40000</v>
      </c>
      <c r="O72" s="30"/>
      <c r="P72" s="30"/>
      <c r="Q72" s="30"/>
      <c r="R72" s="30"/>
      <c r="S72" s="30"/>
      <c r="T72" s="30"/>
      <c r="U72" s="173"/>
      <c r="V72" s="30"/>
      <c r="W72" s="30"/>
      <c r="X72" s="30" t="str">
        <f t="shared" si="4"/>
        <v/>
      </c>
      <c r="Y72" s="172"/>
    </row>
    <row r="73" spans="1:25" x14ac:dyDescent="0.35">
      <c r="A73" s="101"/>
      <c r="B73" s="158" t="s">
        <v>2936</v>
      </c>
      <c r="C73" s="159">
        <v>0</v>
      </c>
      <c r="D73" s="159"/>
      <c r="E73" s="159"/>
      <c r="F73" s="159"/>
      <c r="G73" s="159"/>
      <c r="H73" s="159"/>
      <c r="I73" s="160" t="s">
        <v>2720</v>
      </c>
      <c r="J73" s="161" t="s">
        <v>3248</v>
      </c>
      <c r="K73" s="161" t="s">
        <v>3092</v>
      </c>
      <c r="L73" s="161" t="s">
        <v>3131</v>
      </c>
      <c r="M73" s="160" t="s">
        <v>2720</v>
      </c>
      <c r="N73" s="159">
        <v>0</v>
      </c>
      <c r="O73" s="160" t="s">
        <v>3231</v>
      </c>
      <c r="P73" s="160"/>
      <c r="Q73" s="160" t="s">
        <v>3153</v>
      </c>
      <c r="R73" s="160" t="s">
        <v>3255</v>
      </c>
      <c r="S73" s="160" t="s">
        <v>3253</v>
      </c>
      <c r="T73" s="160" t="s">
        <v>3254</v>
      </c>
      <c r="U73" s="162" t="s">
        <v>3172</v>
      </c>
      <c r="V73" s="160"/>
      <c r="W73" s="160"/>
      <c r="X73" s="160" t="str">
        <f t="shared" si="4"/>
        <v>Service Charges - Refuse Revenue_NC066_2017/2018_O_REV_030</v>
      </c>
      <c r="Y73" s="163" t="s">
        <v>3247</v>
      </c>
    </row>
    <row r="74" spans="1:25" ht="15" thickBot="1" x14ac:dyDescent="0.4">
      <c r="A74" s="101"/>
      <c r="B74" s="164" t="s">
        <v>2950</v>
      </c>
      <c r="C74" s="211">
        <v>-3193000</v>
      </c>
      <c r="D74" s="165"/>
      <c r="E74" s="165"/>
      <c r="F74" s="165"/>
      <c r="G74" s="165"/>
      <c r="H74" s="165"/>
      <c r="I74" s="166" t="s">
        <v>2720</v>
      </c>
      <c r="J74" s="167" t="s">
        <v>3248</v>
      </c>
      <c r="K74" s="167" t="s">
        <v>3092</v>
      </c>
      <c r="L74" s="167" t="s">
        <v>3131</v>
      </c>
      <c r="M74" s="166" t="s">
        <v>2720</v>
      </c>
      <c r="N74" s="165">
        <v>-3193000</v>
      </c>
      <c r="O74" s="166"/>
      <c r="P74" s="166"/>
      <c r="Q74" s="166"/>
      <c r="R74" s="166"/>
      <c r="S74" s="166"/>
      <c r="T74" s="166"/>
      <c r="U74" s="174"/>
      <c r="V74" s="166"/>
      <c r="W74" s="166"/>
      <c r="X74" s="166" t="str">
        <f t="shared" si="4"/>
        <v/>
      </c>
      <c r="Y74" s="170"/>
    </row>
    <row r="75" spans="1:25" ht="15" thickBot="1" x14ac:dyDescent="0.4">
      <c r="A75" s="101"/>
      <c r="B75" s="164" t="s">
        <v>2898</v>
      </c>
      <c r="C75" s="211">
        <v>-9000</v>
      </c>
      <c r="D75" s="165"/>
      <c r="E75" s="165"/>
      <c r="F75" s="165"/>
      <c r="G75" s="165"/>
      <c r="H75" s="165"/>
      <c r="I75" s="166" t="s">
        <v>2709</v>
      </c>
      <c r="J75" s="167" t="s">
        <v>3248</v>
      </c>
      <c r="K75" s="167" t="s">
        <v>3092</v>
      </c>
      <c r="L75" s="167" t="s">
        <v>3131</v>
      </c>
      <c r="M75" s="166" t="s">
        <v>2709</v>
      </c>
      <c r="N75" s="165">
        <v>-9000</v>
      </c>
      <c r="O75" s="166" t="s">
        <v>3232</v>
      </c>
      <c r="P75" s="166"/>
      <c r="Q75" s="166" t="s">
        <v>3153</v>
      </c>
      <c r="R75" s="166" t="s">
        <v>3255</v>
      </c>
      <c r="S75" s="166" t="s">
        <v>3253</v>
      </c>
      <c r="T75" s="166" t="s">
        <v>3254</v>
      </c>
      <c r="U75" s="169" t="s">
        <v>3212</v>
      </c>
      <c r="V75" s="166"/>
      <c r="W75" s="166"/>
      <c r="X75" s="166" t="str">
        <f t="shared" si="4"/>
        <v>Service Charges - Other_NC066_2017/2018_O_REV_031</v>
      </c>
      <c r="Y75" s="170" t="s">
        <v>3247</v>
      </c>
    </row>
    <row r="76" spans="1:25" ht="15" thickBot="1" x14ac:dyDescent="0.4">
      <c r="A76" s="101"/>
      <c r="B76" s="154" t="s">
        <v>2951</v>
      </c>
      <c r="C76" s="208">
        <v>-4050000</v>
      </c>
      <c r="D76" s="179"/>
      <c r="E76" s="179"/>
      <c r="F76" s="179"/>
      <c r="G76" s="179"/>
      <c r="H76" s="179"/>
      <c r="I76" s="180" t="s">
        <v>2719</v>
      </c>
      <c r="J76" s="181" t="s">
        <v>3248</v>
      </c>
      <c r="K76" s="181" t="s">
        <v>3092</v>
      </c>
      <c r="L76" s="181" t="s">
        <v>3131</v>
      </c>
      <c r="M76" s="180" t="s">
        <v>2719</v>
      </c>
      <c r="N76" s="179">
        <v>-4050000</v>
      </c>
      <c r="O76" s="180" t="s">
        <v>3230</v>
      </c>
      <c r="P76" s="180"/>
      <c r="Q76" s="180" t="s">
        <v>3153</v>
      </c>
      <c r="R76" s="180" t="s">
        <v>3255</v>
      </c>
      <c r="S76" s="180" t="s">
        <v>3253</v>
      </c>
      <c r="T76" s="180" t="s">
        <v>3254</v>
      </c>
      <c r="U76" s="182" t="s">
        <v>3219</v>
      </c>
      <c r="V76" s="180"/>
      <c r="W76" s="180"/>
      <c r="X76" s="180" t="str">
        <f t="shared" si="4"/>
        <v>Service Charges - Sanitation Revenue_NC066_2017/2018_O_REV_032</v>
      </c>
      <c r="Y76" s="183" t="s">
        <v>3247</v>
      </c>
    </row>
    <row r="77" spans="1:25" ht="15" thickBot="1" x14ac:dyDescent="0.4">
      <c r="A77" s="101"/>
      <c r="B77" s="154" t="s">
        <v>2952</v>
      </c>
      <c r="C77" s="208">
        <v>-3800000</v>
      </c>
      <c r="D77" s="179"/>
      <c r="E77" s="179"/>
      <c r="F77" s="179"/>
      <c r="G77" s="179"/>
      <c r="H77" s="179"/>
      <c r="I77" s="180" t="s">
        <v>2718</v>
      </c>
      <c r="J77" s="181" t="s">
        <v>3248</v>
      </c>
      <c r="K77" s="181" t="s">
        <v>3092</v>
      </c>
      <c r="L77" s="181" t="s">
        <v>3131</v>
      </c>
      <c r="M77" s="180" t="s">
        <v>2718</v>
      </c>
      <c r="N77" s="179">
        <v>-3800000</v>
      </c>
      <c r="O77" s="180" t="s">
        <v>3233</v>
      </c>
      <c r="P77" s="180"/>
      <c r="Q77" s="180" t="s">
        <v>3153</v>
      </c>
      <c r="R77" s="180" t="s">
        <v>3255</v>
      </c>
      <c r="S77" s="180" t="s">
        <v>3253</v>
      </c>
      <c r="T77" s="180" t="s">
        <v>3254</v>
      </c>
      <c r="U77" s="182" t="s">
        <v>3220</v>
      </c>
      <c r="V77" s="180"/>
      <c r="W77" s="180"/>
      <c r="X77" s="180" t="str">
        <f t="shared" si="4"/>
        <v>Service Charges - Water Revenue_NC066_2017/2018_O_REV_033</v>
      </c>
      <c r="Y77" s="183" t="s">
        <v>3247</v>
      </c>
    </row>
    <row r="78" spans="1:25" ht="15" thickBot="1" x14ac:dyDescent="0.4">
      <c r="A78" s="101"/>
      <c r="B78" s="154" t="s">
        <v>2972</v>
      </c>
      <c r="C78" s="208">
        <v>-81000</v>
      </c>
      <c r="D78" s="179"/>
      <c r="E78" s="179"/>
      <c r="F78" s="179"/>
      <c r="G78" s="179"/>
      <c r="H78" s="179"/>
      <c r="I78" s="180" t="s">
        <v>2707</v>
      </c>
      <c r="J78" s="181" t="s">
        <v>3251</v>
      </c>
      <c r="K78" s="181" t="s">
        <v>3089</v>
      </c>
      <c r="L78" s="181" t="s">
        <v>3131</v>
      </c>
      <c r="M78" s="180" t="s">
        <v>2707</v>
      </c>
      <c r="N78" s="179">
        <v>-81000</v>
      </c>
      <c r="O78" s="180" t="s">
        <v>2707</v>
      </c>
      <c r="P78" s="180" t="s">
        <v>2972</v>
      </c>
      <c r="Q78" s="180" t="s">
        <v>3153</v>
      </c>
      <c r="R78" s="180" t="s">
        <v>3255</v>
      </c>
      <c r="S78" s="180" t="s">
        <v>3253</v>
      </c>
      <c r="T78" s="180" t="s">
        <v>3254</v>
      </c>
      <c r="U78" s="182" t="s">
        <v>3221</v>
      </c>
      <c r="V78" s="180"/>
      <c r="W78" s="180"/>
      <c r="X78" s="180" t="str">
        <f>CONCATENATE(P78,Q78,R78,S78,T78,U78)</f>
        <v>Post Emp Medical -Invoiced  _NC066_2017/2018_O_REV_034</v>
      </c>
      <c r="Y78" s="163" t="s">
        <v>3245</v>
      </c>
    </row>
    <row r="79" spans="1:25" ht="15" thickBot="1" x14ac:dyDescent="0.4">
      <c r="A79" s="101"/>
      <c r="B79" s="158" t="s">
        <v>2937</v>
      </c>
      <c r="C79" s="210">
        <v>-30300</v>
      </c>
      <c r="D79" s="159"/>
      <c r="E79" s="159"/>
      <c r="F79" s="159"/>
      <c r="G79" s="159"/>
      <c r="H79" s="159"/>
      <c r="I79" s="160" t="s">
        <v>2707</v>
      </c>
      <c r="J79" s="161" t="s">
        <v>3251</v>
      </c>
      <c r="K79" s="161" t="s">
        <v>3086</v>
      </c>
      <c r="L79" s="161" t="s">
        <v>3131</v>
      </c>
      <c r="M79" s="160" t="s">
        <v>2707</v>
      </c>
      <c r="N79" s="159">
        <v>-30300</v>
      </c>
      <c r="O79" s="160" t="s">
        <v>2707</v>
      </c>
      <c r="P79" s="160" t="s">
        <v>2937</v>
      </c>
      <c r="Q79" s="160" t="s">
        <v>3153</v>
      </c>
      <c r="R79" s="160" t="s">
        <v>3255</v>
      </c>
      <c r="S79" s="160" t="s">
        <v>3253</v>
      </c>
      <c r="T79" s="160" t="s">
        <v>3254</v>
      </c>
      <c r="U79" s="162" t="s">
        <v>3222</v>
      </c>
      <c r="V79" s="160"/>
      <c r="W79" s="160"/>
      <c r="X79" s="160" t="str">
        <f>CONCATENATE(P79,Q79,R79,S79,T79,U79)</f>
        <v>Revenue: LGSETA_NC066_2017/2018_O_REV_035</v>
      </c>
      <c r="Y79" s="163" t="s">
        <v>3245</v>
      </c>
    </row>
    <row r="80" spans="1:25" x14ac:dyDescent="0.35">
      <c r="A80" s="101" t="s">
        <v>137</v>
      </c>
      <c r="B80" s="158" t="s">
        <v>2889</v>
      </c>
      <c r="C80" s="159">
        <v>-500</v>
      </c>
      <c r="D80" s="159"/>
      <c r="E80" s="159"/>
      <c r="F80" s="159"/>
      <c r="G80" s="159"/>
      <c r="H80" s="159"/>
      <c r="I80" s="160" t="s">
        <v>2707</v>
      </c>
      <c r="J80" s="161" t="s">
        <v>3252</v>
      </c>
      <c r="K80" s="161" t="s">
        <v>3097</v>
      </c>
      <c r="L80" s="161" t="s">
        <v>3131</v>
      </c>
      <c r="M80" s="160" t="s">
        <v>2707</v>
      </c>
      <c r="N80" s="159">
        <v>-500</v>
      </c>
      <c r="O80" s="160" t="s">
        <v>2707</v>
      </c>
      <c r="P80" s="160" t="s">
        <v>3382</v>
      </c>
      <c r="Q80" s="160" t="s">
        <v>3153</v>
      </c>
      <c r="R80" s="160" t="s">
        <v>3255</v>
      </c>
      <c r="S80" s="160" t="s">
        <v>3253</v>
      </c>
      <c r="T80" s="160" t="s">
        <v>3254</v>
      </c>
      <c r="U80" s="162" t="s">
        <v>3269</v>
      </c>
      <c r="V80" s="160"/>
      <c r="W80" s="160"/>
      <c r="X80" s="160" t="str">
        <f>CONCATENATE(P80,Q80,R80,S80,T80,U80)</f>
        <v>Library Fines: Income &amp; Lost Books_NC066_2017/2018_O_REV_036</v>
      </c>
      <c r="Y80" s="163" t="s">
        <v>3245</v>
      </c>
    </row>
    <row r="81" spans="1:25" ht="15" thickBot="1" x14ac:dyDescent="0.4">
      <c r="A81" s="101" t="s">
        <v>144</v>
      </c>
      <c r="B81" s="164" t="s">
        <v>2839</v>
      </c>
      <c r="C81" s="165">
        <v>-500</v>
      </c>
      <c r="D81" s="165"/>
      <c r="E81" s="165"/>
      <c r="F81" s="165"/>
      <c r="G81" s="165"/>
      <c r="H81" s="165"/>
      <c r="I81" s="166" t="s">
        <v>2707</v>
      </c>
      <c r="J81" s="167" t="s">
        <v>3252</v>
      </c>
      <c r="K81" s="167" t="s">
        <v>3097</v>
      </c>
      <c r="L81" s="167" t="s">
        <v>3131</v>
      </c>
      <c r="M81" s="166" t="s">
        <v>2707</v>
      </c>
      <c r="N81" s="165">
        <v>-500</v>
      </c>
      <c r="O81" s="166" t="s">
        <v>2707</v>
      </c>
      <c r="P81" s="166" t="s">
        <v>0</v>
      </c>
      <c r="Q81" s="166"/>
      <c r="R81" s="166"/>
      <c r="S81" s="166"/>
      <c r="T81" s="166"/>
      <c r="U81" s="174"/>
      <c r="V81" s="166"/>
      <c r="W81" s="166"/>
      <c r="X81" s="166"/>
      <c r="Y81" s="170"/>
    </row>
    <row r="82" spans="1:25" ht="15" thickBot="1" x14ac:dyDescent="0.4">
      <c r="A82" s="101"/>
      <c r="B82" s="164" t="s">
        <v>2973</v>
      </c>
      <c r="C82" s="165">
        <v>-7900</v>
      </c>
      <c r="D82" s="165"/>
      <c r="E82" s="165"/>
      <c r="F82" s="165"/>
      <c r="G82" s="165"/>
      <c r="H82" s="165"/>
      <c r="I82" s="166"/>
      <c r="J82" s="167"/>
      <c r="K82" s="167"/>
      <c r="L82" s="167"/>
      <c r="M82" s="166"/>
      <c r="N82" s="165"/>
      <c r="O82" s="166"/>
      <c r="P82" s="166"/>
      <c r="Q82" s="166"/>
      <c r="R82" s="166"/>
      <c r="S82" s="166"/>
      <c r="T82" s="166"/>
      <c r="U82" s="174"/>
      <c r="V82" s="166"/>
      <c r="W82" s="166"/>
      <c r="X82" s="166"/>
      <c r="Y82" s="170"/>
    </row>
    <row r="83" spans="1:25" ht="15" thickBot="1" x14ac:dyDescent="0.4">
      <c r="A83" s="101" t="s">
        <v>135</v>
      </c>
      <c r="B83" s="164" t="s">
        <v>2888</v>
      </c>
      <c r="C83" s="211">
        <v>-1667000</v>
      </c>
      <c r="D83" s="165"/>
      <c r="E83" s="165"/>
      <c r="F83" s="165"/>
      <c r="G83" s="165"/>
      <c r="H83" s="165"/>
      <c r="I83" s="166" t="s">
        <v>2708</v>
      </c>
      <c r="J83" s="167" t="s">
        <v>3252</v>
      </c>
      <c r="K83" s="167" t="s">
        <v>3097</v>
      </c>
      <c r="L83" s="167" t="s">
        <v>3131</v>
      </c>
      <c r="M83" s="166" t="s">
        <v>2708</v>
      </c>
      <c r="N83" s="165">
        <v>-1667000</v>
      </c>
      <c r="O83" s="166" t="s">
        <v>3242</v>
      </c>
      <c r="P83" s="166"/>
      <c r="Q83" s="166" t="s">
        <v>3153</v>
      </c>
      <c r="R83" s="166" t="s">
        <v>3255</v>
      </c>
      <c r="S83" s="166" t="s">
        <v>3253</v>
      </c>
      <c r="T83" s="166" t="s">
        <v>3254</v>
      </c>
      <c r="U83" s="169" t="s">
        <v>3270</v>
      </c>
      <c r="V83" s="166"/>
      <c r="W83" s="166"/>
      <c r="X83" s="166" t="str">
        <f>CONCATENATE(O83,Q83,R83,S83,T83,U83)</f>
        <v>Transfers Recognised - Operational Library Grant_NC066_2017/2018_O_REV_037</v>
      </c>
      <c r="Y83" s="170" t="s">
        <v>3245</v>
      </c>
    </row>
    <row r="84" spans="1:25" ht="15" thickBot="1" x14ac:dyDescent="0.4">
      <c r="A84" s="101" t="s">
        <v>140</v>
      </c>
      <c r="B84" s="158" t="s">
        <v>2982</v>
      </c>
      <c r="C84" s="210">
        <v>-8000</v>
      </c>
      <c r="D84" s="159"/>
      <c r="E84" s="159"/>
      <c r="F84" s="159"/>
      <c r="G84" s="159"/>
      <c r="H84" s="159"/>
      <c r="I84" s="160" t="s">
        <v>2716</v>
      </c>
      <c r="J84" s="161" t="s">
        <v>3252</v>
      </c>
      <c r="K84" s="161" t="s">
        <v>3097</v>
      </c>
      <c r="L84" s="161" t="s">
        <v>3131</v>
      </c>
      <c r="M84" s="160" t="s">
        <v>2716</v>
      </c>
      <c r="N84" s="159">
        <v>-8000</v>
      </c>
      <c r="O84" s="160" t="s">
        <v>3224</v>
      </c>
      <c r="P84" s="160" t="s">
        <v>3268</v>
      </c>
      <c r="Q84" s="160" t="s">
        <v>3153</v>
      </c>
      <c r="R84" s="160" t="s">
        <v>3255</v>
      </c>
      <c r="S84" s="160" t="s">
        <v>3253</v>
      </c>
      <c r="T84" s="160" t="s">
        <v>3254</v>
      </c>
      <c r="U84" s="162" t="s">
        <v>3271</v>
      </c>
      <c r="V84" s="160"/>
      <c r="W84" s="160"/>
      <c r="X84" s="160" t="str">
        <f>CONCATENATE(O84,"_",P84,Q84,R84,S84,T84,U84)</f>
        <v>Rental of Facilities and Equipment_Library Hall Rentals _NC066_2017/2018_O_REV_038</v>
      </c>
      <c r="Y84" s="163" t="s">
        <v>3245</v>
      </c>
    </row>
    <row r="85" spans="1:25" x14ac:dyDescent="0.35">
      <c r="A85" s="101" t="s">
        <v>146</v>
      </c>
      <c r="B85" s="158" t="s">
        <v>2977</v>
      </c>
      <c r="C85" s="210">
        <v>-6000</v>
      </c>
      <c r="D85" s="159"/>
      <c r="E85" s="159"/>
      <c r="F85" s="159"/>
      <c r="G85" s="159"/>
      <c r="H85" s="159"/>
      <c r="I85" s="160" t="s">
        <v>2707</v>
      </c>
      <c r="J85" s="161" t="s">
        <v>3252</v>
      </c>
      <c r="K85" s="161" t="s">
        <v>3094</v>
      </c>
      <c r="L85" s="161" t="s">
        <v>3131</v>
      </c>
      <c r="M85" s="160" t="s">
        <v>2707</v>
      </c>
      <c r="N85" s="159">
        <v>-6000</v>
      </c>
      <c r="O85" s="160" t="s">
        <v>3142</v>
      </c>
      <c r="P85" s="160" t="s">
        <v>3267</v>
      </c>
      <c r="Q85" s="160" t="s">
        <v>3153</v>
      </c>
      <c r="R85" s="160" t="s">
        <v>3255</v>
      </c>
      <c r="S85" s="160" t="s">
        <v>3253</v>
      </c>
      <c r="T85" s="160" t="s">
        <v>3254</v>
      </c>
      <c r="U85" s="162" t="s">
        <v>3272</v>
      </c>
      <c r="V85" s="160"/>
      <c r="W85" s="160"/>
      <c r="X85" s="160" t="str">
        <f>CONCATENATE(O85,"_",P85,Q85,R85,S85,T85,U85)</f>
        <v>Other Revenue_Deposits: Hiring of Halls &amp; Fotostats Fees_NC066_2017/2018_O_REV_039</v>
      </c>
      <c r="Y85" s="163" t="s">
        <v>3245</v>
      </c>
    </row>
    <row r="86" spans="1:25" ht="15" thickBot="1" x14ac:dyDescent="0.4">
      <c r="A86" s="101" t="s">
        <v>282</v>
      </c>
      <c r="B86" s="164" t="s">
        <v>2974</v>
      </c>
      <c r="C86" s="165">
        <v>-3600</v>
      </c>
      <c r="D86" s="165"/>
      <c r="E86" s="165"/>
      <c r="F86" s="165"/>
      <c r="G86" s="165"/>
      <c r="H86" s="165"/>
      <c r="I86" s="166" t="s">
        <v>2707</v>
      </c>
      <c r="J86" s="167" t="s">
        <v>3252</v>
      </c>
      <c r="K86" s="167" t="s">
        <v>3094</v>
      </c>
      <c r="L86" s="167" t="s">
        <v>3131</v>
      </c>
      <c r="M86" s="166" t="s">
        <v>2707</v>
      </c>
      <c r="N86" s="165">
        <v>-3600</v>
      </c>
      <c r="O86" s="166"/>
      <c r="P86" s="166" t="s">
        <v>0</v>
      </c>
      <c r="Q86" s="166"/>
      <c r="R86" s="166"/>
      <c r="S86" s="166"/>
      <c r="T86" s="166"/>
      <c r="U86" s="174"/>
      <c r="V86" s="166"/>
      <c r="W86" s="166"/>
      <c r="X86" s="166" t="str">
        <f>CONCATENATE(O86,Q86,R86,S86,T86,U86)</f>
        <v/>
      </c>
      <c r="Y86" s="170"/>
    </row>
    <row r="87" spans="1:25" x14ac:dyDescent="0.35">
      <c r="A87" s="66" t="s">
        <v>280</v>
      </c>
      <c r="J87" s="113"/>
      <c r="K87" s="113"/>
      <c r="L87" s="113"/>
      <c r="N87" s="113"/>
      <c r="O87" s="113"/>
      <c r="P87" s="113"/>
      <c r="U87" s="113"/>
    </row>
    <row r="88" spans="1:25" x14ac:dyDescent="0.35">
      <c r="A88" s="66"/>
      <c r="J88" s="113"/>
      <c r="K88" s="113"/>
      <c r="L88" s="113"/>
      <c r="N88" s="113"/>
      <c r="O88" s="113"/>
      <c r="P88" s="113"/>
      <c r="U88" s="113"/>
    </row>
    <row r="90" spans="1:25" ht="15" thickBot="1" x14ac:dyDescent="0.4">
      <c r="B90" s="117" t="s">
        <v>2545</v>
      </c>
      <c r="C90" s="112">
        <f t="shared" ref="C90:H90" si="5">SUM(C2:C87)</f>
        <v>-70852500</v>
      </c>
      <c r="D90" s="112">
        <f t="shared" si="5"/>
        <v>0</v>
      </c>
      <c r="E90" s="112">
        <f t="shared" si="5"/>
        <v>0</v>
      </c>
      <c r="F90" s="112">
        <f t="shared" si="5"/>
        <v>0</v>
      </c>
      <c r="G90" s="112">
        <f t="shared" si="5"/>
        <v>0</v>
      </c>
      <c r="H90" s="112">
        <f t="shared" si="5"/>
        <v>0</v>
      </c>
      <c r="N90" s="112">
        <f>SUM(N2:N87)</f>
        <v>-70841700</v>
      </c>
    </row>
    <row r="91" spans="1:25" ht="15" thickTop="1" x14ac:dyDescent="0.35">
      <c r="D91" s="130"/>
      <c r="F91" s="111">
        <f>+F233+F234+F235+F236+F237</f>
        <v>0</v>
      </c>
      <c r="G91" s="111">
        <f t="shared" ref="G91:H91" si="6">+G233+G234+G235+G236+G237</f>
        <v>0</v>
      </c>
      <c r="H91" s="111">
        <f t="shared" si="6"/>
        <v>0</v>
      </c>
    </row>
    <row r="92" spans="1:25" x14ac:dyDescent="0.35">
      <c r="B92" s="117" t="s">
        <v>2676</v>
      </c>
      <c r="G92" s="117">
        <v>17</v>
      </c>
      <c r="H92" s="117"/>
    </row>
    <row r="93" spans="1:25" ht="15" thickBot="1" x14ac:dyDescent="0.4">
      <c r="B93" s="117"/>
      <c r="G93" s="117"/>
      <c r="H93" s="117"/>
    </row>
    <row r="94" spans="1:25" ht="15" thickBot="1" x14ac:dyDescent="0.4">
      <c r="A94" s="154"/>
      <c r="B94" s="158" t="s">
        <v>2772</v>
      </c>
      <c r="C94" s="159">
        <v>0</v>
      </c>
      <c r="D94" s="159"/>
      <c r="E94" s="159"/>
      <c r="F94" s="159"/>
      <c r="G94" s="159"/>
      <c r="H94" s="159"/>
      <c r="I94" s="160" t="s">
        <v>2722</v>
      </c>
      <c r="J94" s="160" t="s">
        <v>3249</v>
      </c>
      <c r="K94" s="160" t="s">
        <v>3106</v>
      </c>
      <c r="L94" s="161" t="s">
        <v>2544</v>
      </c>
      <c r="M94" s="160" t="s">
        <v>3137</v>
      </c>
      <c r="N94" s="176">
        <v>0</v>
      </c>
      <c r="O94" s="159" t="s">
        <v>3192</v>
      </c>
      <c r="P94" s="160" t="s">
        <v>2772</v>
      </c>
      <c r="Q94" s="160" t="s">
        <v>3383</v>
      </c>
      <c r="R94" s="160" t="s">
        <v>3255</v>
      </c>
      <c r="S94" s="160" t="s">
        <v>3253</v>
      </c>
      <c r="T94" s="160" t="s">
        <v>3257</v>
      </c>
      <c r="U94" s="162" t="s">
        <v>3300</v>
      </c>
      <c r="V94" s="160"/>
      <c r="W94" s="160"/>
      <c r="X94" s="160" t="str">
        <f>CONCATENATE(O94,"_",P94,"_",Q94,R94,S94,T94,U94)</f>
        <v>Other Running Cost_Fleet Management_NC066_2017/2018_O_EXP_050</v>
      </c>
      <c r="Y94" s="163" t="s">
        <v>3245</v>
      </c>
    </row>
    <row r="95" spans="1:25" x14ac:dyDescent="0.35">
      <c r="A95" s="148"/>
      <c r="B95" s="158" t="s">
        <v>3041</v>
      </c>
      <c r="C95" s="159">
        <v>115000</v>
      </c>
      <c r="D95" s="159"/>
      <c r="E95" s="159"/>
      <c r="F95" s="159"/>
      <c r="G95" s="159"/>
      <c r="H95" s="159"/>
      <c r="I95" s="160" t="s">
        <v>2722</v>
      </c>
      <c r="J95" s="160" t="s">
        <v>3249</v>
      </c>
      <c r="K95" s="161" t="s">
        <v>3114</v>
      </c>
      <c r="L95" s="161" t="s">
        <v>2544</v>
      </c>
      <c r="M95" s="160" t="s">
        <v>3143</v>
      </c>
      <c r="N95" s="159">
        <v>115000</v>
      </c>
      <c r="O95" s="159" t="s">
        <v>3192</v>
      </c>
      <c r="P95" s="160" t="s">
        <v>3273</v>
      </c>
      <c r="Q95" s="160" t="s">
        <v>3383</v>
      </c>
      <c r="R95" s="160" t="s">
        <v>3255</v>
      </c>
      <c r="S95" s="160" t="s">
        <v>3253</v>
      </c>
      <c r="T95" s="160" t="s">
        <v>3257</v>
      </c>
      <c r="U95" s="162" t="s">
        <v>3301</v>
      </c>
      <c r="V95" s="160"/>
      <c r="W95" s="160"/>
      <c r="X95" s="160" t="str">
        <f>CONCATENATE(O95,"_",P95,"_",Q95,R95,S95,T95,U95)</f>
        <v>Other Running Cost_Refuse Bags, Water &amp; Food Analysis and Water research levy_NC066_2017/2018_O_EXP_051</v>
      </c>
      <c r="Y95" s="163" t="s">
        <v>3245</v>
      </c>
    </row>
    <row r="96" spans="1:25" x14ac:dyDescent="0.35">
      <c r="A96" s="101"/>
      <c r="B96" s="171" t="s">
        <v>2659</v>
      </c>
      <c r="C96" s="114">
        <v>46100</v>
      </c>
      <c r="D96" s="114"/>
      <c r="E96" s="114"/>
      <c r="F96" s="114"/>
      <c r="G96" s="114"/>
      <c r="H96" s="114"/>
      <c r="I96" s="30" t="s">
        <v>2722</v>
      </c>
      <c r="J96" s="30" t="s">
        <v>3249</v>
      </c>
      <c r="K96" s="30" t="s">
        <v>3114</v>
      </c>
      <c r="L96" s="156" t="s">
        <v>2544</v>
      </c>
      <c r="M96" s="30" t="s">
        <v>3137</v>
      </c>
      <c r="N96" s="140">
        <v>46100</v>
      </c>
      <c r="O96" s="114" t="s">
        <v>0</v>
      </c>
      <c r="P96" s="30" t="s">
        <v>0</v>
      </c>
      <c r="Q96" s="30"/>
      <c r="R96" s="30"/>
      <c r="S96" s="30"/>
      <c r="T96" s="30"/>
      <c r="U96" s="173"/>
      <c r="V96" s="30"/>
      <c r="W96" s="30"/>
      <c r="X96" s="30"/>
      <c r="Y96" s="172"/>
    </row>
    <row r="97" spans="1:25" ht="15" thickBot="1" x14ac:dyDescent="0.4">
      <c r="A97" s="146"/>
      <c r="B97" s="171" t="s">
        <v>2865</v>
      </c>
      <c r="C97" s="114">
        <v>42000</v>
      </c>
      <c r="D97" s="114"/>
      <c r="E97" s="114"/>
      <c r="F97" s="114"/>
      <c r="G97" s="114"/>
      <c r="H97" s="114"/>
      <c r="I97" s="30" t="s">
        <v>2722</v>
      </c>
      <c r="J97" s="30" t="s">
        <v>3249</v>
      </c>
      <c r="K97" s="30" t="s">
        <v>3114</v>
      </c>
      <c r="L97" s="156" t="s">
        <v>2544</v>
      </c>
      <c r="M97" s="30" t="s">
        <v>3137</v>
      </c>
      <c r="N97" s="140">
        <v>42000</v>
      </c>
      <c r="O97" s="114" t="s">
        <v>0</v>
      </c>
      <c r="P97" s="30" t="s">
        <v>0</v>
      </c>
      <c r="Q97" s="30"/>
      <c r="R97" s="30"/>
      <c r="S97" s="30"/>
      <c r="T97" s="30"/>
      <c r="U97" s="173"/>
      <c r="V97" s="30"/>
      <c r="W97" s="30"/>
      <c r="X97" s="30"/>
      <c r="Y97" s="172"/>
    </row>
    <row r="98" spans="1:25" x14ac:dyDescent="0.35">
      <c r="A98" s="149"/>
      <c r="B98" s="158" t="s">
        <v>2648</v>
      </c>
      <c r="C98" s="159">
        <v>1000</v>
      </c>
      <c r="D98" s="159"/>
      <c r="E98" s="159"/>
      <c r="F98" s="159"/>
      <c r="G98" s="159"/>
      <c r="H98" s="159"/>
      <c r="I98" s="160" t="s">
        <v>2722</v>
      </c>
      <c r="J98" s="160" t="s">
        <v>3249</v>
      </c>
      <c r="K98" s="161" t="s">
        <v>3104</v>
      </c>
      <c r="L98" s="161" t="s">
        <v>2544</v>
      </c>
      <c r="M98" s="160" t="s">
        <v>3139</v>
      </c>
      <c r="N98" s="159">
        <v>1000</v>
      </c>
      <c r="O98" s="159" t="s">
        <v>3192</v>
      </c>
      <c r="P98" s="160" t="s">
        <v>3274</v>
      </c>
      <c r="Q98" s="160" t="s">
        <v>3383</v>
      </c>
      <c r="R98" s="160" t="s">
        <v>3255</v>
      </c>
      <c r="S98" s="160" t="s">
        <v>3253</v>
      </c>
      <c r="T98" s="160" t="s">
        <v>3257</v>
      </c>
      <c r="U98" s="162" t="s">
        <v>3302</v>
      </c>
      <c r="V98" s="160"/>
      <c r="W98" s="160"/>
      <c r="X98" s="160" t="str">
        <f>CONCATENATE(O98,"_",P98,"_",Q98,R98,S98,T98,U98)</f>
        <v>Other Running Cost_Old Graves Williston &amp; Traffic Signs_NC066_2017/2018_O_EXP_052</v>
      </c>
      <c r="Y98" s="163" t="s">
        <v>3245</v>
      </c>
    </row>
    <row r="99" spans="1:25" ht="15" thickBot="1" x14ac:dyDescent="0.4">
      <c r="A99" s="151"/>
      <c r="B99" s="164" t="s">
        <v>2988</v>
      </c>
      <c r="C99" s="165">
        <v>80000</v>
      </c>
      <c r="D99" s="165"/>
      <c r="E99" s="165"/>
      <c r="F99" s="165"/>
      <c r="G99" s="165"/>
      <c r="H99" s="165"/>
      <c r="I99" s="166" t="s">
        <v>2722</v>
      </c>
      <c r="J99" s="166" t="s">
        <v>3249</v>
      </c>
      <c r="K99" s="166" t="s">
        <v>3104</v>
      </c>
      <c r="L99" s="167" t="s">
        <v>2544</v>
      </c>
      <c r="M99" s="166" t="s">
        <v>3137</v>
      </c>
      <c r="N99" s="168">
        <v>80000</v>
      </c>
      <c r="O99" s="165" t="s">
        <v>0</v>
      </c>
      <c r="P99" s="166" t="s">
        <v>0</v>
      </c>
      <c r="Q99" s="166"/>
      <c r="R99" s="166"/>
      <c r="S99" s="166"/>
      <c r="T99" s="166"/>
      <c r="U99" s="174"/>
      <c r="V99" s="166"/>
      <c r="W99" s="166"/>
      <c r="X99" s="166"/>
      <c r="Y99" s="170"/>
    </row>
    <row r="100" spans="1:25" ht="15" thickBot="1" x14ac:dyDescent="0.4">
      <c r="A100" s="154"/>
      <c r="B100" s="30" t="s">
        <v>2986</v>
      </c>
      <c r="C100" s="114">
        <v>12000</v>
      </c>
      <c r="D100" s="114"/>
      <c r="E100" s="114"/>
      <c r="F100" s="114"/>
      <c r="G100" s="114"/>
      <c r="H100" s="114"/>
      <c r="I100" s="30" t="s">
        <v>2722</v>
      </c>
      <c r="J100" s="30" t="s">
        <v>3248</v>
      </c>
      <c r="K100" s="30" t="s">
        <v>3074</v>
      </c>
      <c r="L100" s="156" t="s">
        <v>2544</v>
      </c>
      <c r="M100" s="30" t="s">
        <v>3143</v>
      </c>
      <c r="N100" s="140">
        <v>12000</v>
      </c>
      <c r="O100" s="114" t="s">
        <v>3192</v>
      </c>
      <c r="P100" s="30" t="s">
        <v>3380</v>
      </c>
      <c r="Q100" s="30" t="s">
        <v>3383</v>
      </c>
      <c r="R100" s="30" t="s">
        <v>3255</v>
      </c>
      <c r="S100" s="30" t="s">
        <v>3253</v>
      </c>
      <c r="T100" s="30" t="s">
        <v>3257</v>
      </c>
      <c r="U100" s="157" t="s">
        <v>3303</v>
      </c>
      <c r="V100" s="30"/>
      <c r="W100" s="30"/>
      <c r="X100" s="30" t="str">
        <f>CONCATENATE(O100,"_",P100,"_",Q100,R100,S100,T100,U100)</f>
        <v>Other Running Cost_Entertainment/Refreshments Costs _NC066_2017/2018_O_EXP_053</v>
      </c>
      <c r="Y100" s="172" t="s">
        <v>3245</v>
      </c>
    </row>
    <row r="101" spans="1:25" x14ac:dyDescent="0.35">
      <c r="A101" s="148"/>
      <c r="B101" s="158" t="s">
        <v>2959</v>
      </c>
      <c r="C101" s="210">
        <v>200100</v>
      </c>
      <c r="D101" s="159"/>
      <c r="E101" s="159"/>
      <c r="F101" s="159"/>
      <c r="G101" s="159"/>
      <c r="H101" s="159"/>
      <c r="I101" s="160" t="s">
        <v>2722</v>
      </c>
      <c r="J101" s="160" t="s">
        <v>3248</v>
      </c>
      <c r="K101" s="160" t="s">
        <v>3079</v>
      </c>
      <c r="L101" s="161" t="s">
        <v>2544</v>
      </c>
      <c r="M101" s="160" t="s">
        <v>3142</v>
      </c>
      <c r="N101" s="159">
        <v>200100</v>
      </c>
      <c r="O101" s="159" t="s">
        <v>3192</v>
      </c>
      <c r="P101" s="160" t="s">
        <v>3275</v>
      </c>
      <c r="Q101" s="160" t="s">
        <v>3383</v>
      </c>
      <c r="R101" s="160" t="s">
        <v>3255</v>
      </c>
      <c r="S101" s="160" t="s">
        <v>3253</v>
      </c>
      <c r="T101" s="160" t="s">
        <v>3257</v>
      </c>
      <c r="U101" s="162" t="s">
        <v>3304</v>
      </c>
      <c r="V101" s="160"/>
      <c r="W101" s="160"/>
      <c r="X101" s="160" t="str">
        <f>CONCATENATE(O101,"_",P101,"_",Q101,R101,S101,T101,U101)</f>
        <v>Other Running Cost_Commission: Pre Paid Sales Electricity &amp; Water_NC066_2017/2018_O_EXP_054</v>
      </c>
      <c r="Y101" s="163" t="s">
        <v>3245</v>
      </c>
    </row>
    <row r="102" spans="1:25" ht="15" thickBot="1" x14ac:dyDescent="0.4">
      <c r="A102" s="101"/>
      <c r="B102" s="171" t="s">
        <v>2960</v>
      </c>
      <c r="C102" s="114">
        <v>35000</v>
      </c>
      <c r="D102" s="114"/>
      <c r="E102" s="114"/>
      <c r="F102" s="114"/>
      <c r="G102" s="114"/>
      <c r="H102" s="114"/>
      <c r="I102" s="30" t="s">
        <v>2722</v>
      </c>
      <c r="J102" s="30" t="s">
        <v>3248</v>
      </c>
      <c r="K102" s="30" t="s">
        <v>3079</v>
      </c>
      <c r="L102" s="156" t="s">
        <v>2544</v>
      </c>
      <c r="M102" s="30" t="s">
        <v>3142</v>
      </c>
      <c r="N102" s="114">
        <v>35000</v>
      </c>
      <c r="O102" s="114" t="s">
        <v>0</v>
      </c>
      <c r="P102" s="30" t="s">
        <v>0</v>
      </c>
      <c r="Q102" s="30"/>
      <c r="R102" s="30"/>
      <c r="S102" s="30"/>
      <c r="T102" s="30"/>
      <c r="U102" s="173"/>
      <c r="V102" s="30"/>
      <c r="W102" s="30"/>
      <c r="X102" s="30"/>
      <c r="Y102" s="172"/>
    </row>
    <row r="103" spans="1:25" x14ac:dyDescent="0.35">
      <c r="A103" s="101"/>
      <c r="B103" s="158" t="s">
        <v>2918</v>
      </c>
      <c r="C103" s="159">
        <v>45600</v>
      </c>
      <c r="D103" s="159"/>
      <c r="E103" s="159"/>
      <c r="F103" s="159"/>
      <c r="G103" s="159"/>
      <c r="H103" s="159"/>
      <c r="I103" s="160" t="s">
        <v>2722</v>
      </c>
      <c r="J103" s="160" t="s">
        <v>3248</v>
      </c>
      <c r="K103" s="160" t="s">
        <v>3090</v>
      </c>
      <c r="L103" s="161" t="s">
        <v>2544</v>
      </c>
      <c r="M103" s="160" t="s">
        <v>3135</v>
      </c>
      <c r="N103" s="176">
        <v>9600</v>
      </c>
      <c r="O103" s="159" t="s">
        <v>3192</v>
      </c>
      <c r="P103" s="160" t="s">
        <v>3276</v>
      </c>
      <c r="Q103" s="160" t="s">
        <v>3383</v>
      </c>
      <c r="R103" s="160" t="s">
        <v>3255</v>
      </c>
      <c r="S103" s="160" t="s">
        <v>3253</v>
      </c>
      <c r="T103" s="160" t="s">
        <v>3257</v>
      </c>
      <c r="U103" s="162" t="s">
        <v>3305</v>
      </c>
      <c r="V103" s="160"/>
      <c r="W103" s="160"/>
      <c r="X103" s="160" t="str">
        <f>CONCATENATE(O103,"_",P103,"_",Q103,R103,S103,T103,U103)</f>
        <v>Other Running Cost_Security: Alarms and Cameras &amp; Collections Costs_NC066_2017/2018_O_EXP_055</v>
      </c>
      <c r="Y103" s="163" t="s">
        <v>3245</v>
      </c>
    </row>
    <row r="104" spans="1:25" x14ac:dyDescent="0.35">
      <c r="A104" s="101"/>
      <c r="B104" s="171" t="s">
        <v>2918</v>
      </c>
      <c r="C104" s="114"/>
      <c r="D104" s="114"/>
      <c r="E104" s="114"/>
      <c r="F104" s="114"/>
      <c r="G104" s="114"/>
      <c r="H104" s="114"/>
      <c r="I104" s="30" t="s">
        <v>2722</v>
      </c>
      <c r="J104" s="30" t="s">
        <v>3248</v>
      </c>
      <c r="K104" s="30" t="s">
        <v>3090</v>
      </c>
      <c r="L104" s="156" t="s">
        <v>2544</v>
      </c>
      <c r="M104" s="30" t="s">
        <v>3139</v>
      </c>
      <c r="N104" s="140">
        <f>45600-9600</f>
        <v>36000</v>
      </c>
      <c r="O104" s="114" t="s">
        <v>0</v>
      </c>
      <c r="P104" s="30" t="s">
        <v>0</v>
      </c>
      <c r="Q104" s="30"/>
      <c r="R104" s="30"/>
      <c r="S104" s="30"/>
      <c r="T104" s="30"/>
      <c r="U104" s="173"/>
      <c r="V104" s="30"/>
      <c r="W104" s="30"/>
      <c r="X104" s="30"/>
      <c r="Y104" s="172"/>
    </row>
    <row r="105" spans="1:25" ht="15" thickBot="1" x14ac:dyDescent="0.4">
      <c r="A105" s="101"/>
      <c r="B105" s="171" t="s">
        <v>2846</v>
      </c>
      <c r="C105" s="114">
        <v>12000</v>
      </c>
      <c r="D105" s="114"/>
      <c r="E105" s="114"/>
      <c r="F105" s="114"/>
      <c r="G105" s="114"/>
      <c r="H105" s="114"/>
      <c r="I105" s="30" t="s">
        <v>2722</v>
      </c>
      <c r="J105" s="30" t="s">
        <v>3248</v>
      </c>
      <c r="K105" s="30" t="s">
        <v>3078</v>
      </c>
      <c r="L105" s="156" t="s">
        <v>2544</v>
      </c>
      <c r="M105" s="30" t="s">
        <v>3142</v>
      </c>
      <c r="N105" s="114">
        <v>12000</v>
      </c>
      <c r="O105" s="114" t="s">
        <v>0</v>
      </c>
      <c r="P105" s="30" t="s">
        <v>0</v>
      </c>
      <c r="Q105" s="30"/>
      <c r="R105" s="30"/>
      <c r="S105" s="30"/>
      <c r="T105" s="30"/>
      <c r="U105" s="173"/>
      <c r="V105" s="30"/>
      <c r="W105" s="30"/>
      <c r="X105" s="30"/>
      <c r="Y105" s="172"/>
    </row>
    <row r="106" spans="1:25" x14ac:dyDescent="0.35">
      <c r="A106" s="101"/>
      <c r="B106" s="158" t="s">
        <v>2847</v>
      </c>
      <c r="C106" s="159">
        <v>10000</v>
      </c>
      <c r="D106" s="159"/>
      <c r="E106" s="159"/>
      <c r="F106" s="159"/>
      <c r="G106" s="159"/>
      <c r="H106" s="159"/>
      <c r="I106" s="160" t="s">
        <v>2722</v>
      </c>
      <c r="J106" s="160" t="s">
        <v>3248</v>
      </c>
      <c r="K106" s="160" t="s">
        <v>3076</v>
      </c>
      <c r="L106" s="161" t="s">
        <v>2544</v>
      </c>
      <c r="M106" s="160" t="s">
        <v>3135</v>
      </c>
      <c r="N106" s="176">
        <v>10000</v>
      </c>
      <c r="O106" s="159" t="s">
        <v>3192</v>
      </c>
      <c r="P106" s="160" t="s">
        <v>3277</v>
      </c>
      <c r="Q106" s="160" t="s">
        <v>3383</v>
      </c>
      <c r="R106" s="160" t="s">
        <v>3255</v>
      </c>
      <c r="S106" s="160" t="s">
        <v>3253</v>
      </c>
      <c r="T106" s="160" t="s">
        <v>3257</v>
      </c>
      <c r="U106" s="162" t="s">
        <v>3306</v>
      </c>
      <c r="V106" s="160"/>
      <c r="W106" s="160"/>
      <c r="X106" s="160" t="str">
        <f>CONCATENATE(O106,"_",P106,"_",Q106,R106,S106,T106,U106)</f>
        <v>Other Running Cost_Consumables, Courier Services &amp; Deeds Search Fees_NC066_2017/2018_O_EXP_056</v>
      </c>
      <c r="Y106" s="163" t="s">
        <v>3245</v>
      </c>
    </row>
    <row r="107" spans="1:25" x14ac:dyDescent="0.35">
      <c r="A107" s="101"/>
      <c r="B107" s="171" t="s">
        <v>2848</v>
      </c>
      <c r="C107" s="114">
        <v>8400</v>
      </c>
      <c r="D107" s="114"/>
      <c r="E107" s="114"/>
      <c r="F107" s="114"/>
      <c r="G107" s="114"/>
      <c r="H107" s="114"/>
      <c r="I107" s="30" t="s">
        <v>2722</v>
      </c>
      <c r="J107" s="30" t="s">
        <v>3248</v>
      </c>
      <c r="K107" s="30" t="s">
        <v>3076</v>
      </c>
      <c r="L107" s="156" t="s">
        <v>2544</v>
      </c>
      <c r="M107" s="30" t="s">
        <v>3142</v>
      </c>
      <c r="N107" s="140">
        <v>8400</v>
      </c>
      <c r="O107" s="114" t="s">
        <v>0</v>
      </c>
      <c r="P107" s="30" t="s">
        <v>0</v>
      </c>
      <c r="Q107" s="30"/>
      <c r="R107" s="30"/>
      <c r="S107" s="30"/>
      <c r="T107" s="30"/>
      <c r="U107" s="173"/>
      <c r="V107" s="30"/>
      <c r="W107" s="30"/>
      <c r="X107" s="30"/>
      <c r="Y107" s="172"/>
    </row>
    <row r="108" spans="1:25" ht="15" thickBot="1" x14ac:dyDescent="0.4">
      <c r="A108" s="101"/>
      <c r="B108" s="164" t="s">
        <v>2983</v>
      </c>
      <c r="C108" s="165">
        <v>9600</v>
      </c>
      <c r="D108" s="165"/>
      <c r="E108" s="165"/>
      <c r="F108" s="165"/>
      <c r="G108" s="165"/>
      <c r="H108" s="165"/>
      <c r="I108" s="166" t="s">
        <v>2722</v>
      </c>
      <c r="J108" s="166" t="s">
        <v>3248</v>
      </c>
      <c r="K108" s="166" t="s">
        <v>3076</v>
      </c>
      <c r="L108" s="167" t="s">
        <v>2544</v>
      </c>
      <c r="M108" s="166" t="s">
        <v>3142</v>
      </c>
      <c r="N108" s="165">
        <v>9600</v>
      </c>
      <c r="O108" s="165" t="s">
        <v>0</v>
      </c>
      <c r="P108" s="166" t="s">
        <v>0</v>
      </c>
      <c r="Q108" s="166"/>
      <c r="R108" s="166"/>
      <c r="S108" s="166"/>
      <c r="T108" s="166"/>
      <c r="U108" s="174"/>
      <c r="V108" s="166"/>
      <c r="W108" s="166"/>
      <c r="X108" s="166"/>
      <c r="Y108" s="170"/>
    </row>
    <row r="109" spans="1:25" ht="15" thickBot="1" x14ac:dyDescent="0.4">
      <c r="A109" s="101"/>
      <c r="B109" s="164" t="s">
        <v>2854</v>
      </c>
      <c r="C109" s="165">
        <v>0</v>
      </c>
      <c r="D109" s="165"/>
      <c r="E109" s="165"/>
      <c r="F109" s="165"/>
      <c r="G109" s="165"/>
      <c r="H109" s="165"/>
      <c r="I109" s="166" t="s">
        <v>2722</v>
      </c>
      <c r="J109" s="167" t="s">
        <v>3251</v>
      </c>
      <c r="K109" s="166" t="s">
        <v>3091</v>
      </c>
      <c r="L109" s="167" t="s">
        <v>2544</v>
      </c>
      <c r="M109" s="166" t="s">
        <v>3142</v>
      </c>
      <c r="N109" s="168">
        <v>0</v>
      </c>
      <c r="O109" s="165" t="s">
        <v>3192</v>
      </c>
      <c r="P109" s="166" t="s">
        <v>3384</v>
      </c>
      <c r="Q109" s="166" t="s">
        <v>3383</v>
      </c>
      <c r="R109" s="166" t="s">
        <v>3255</v>
      </c>
      <c r="S109" s="166" t="s">
        <v>3253</v>
      </c>
      <c r="T109" s="166" t="s">
        <v>3257</v>
      </c>
      <c r="U109" s="169" t="s">
        <v>3307</v>
      </c>
      <c r="V109" s="166"/>
      <c r="W109" s="166"/>
      <c r="X109" s="30" t="str">
        <f>CONCATENATE(O109,"_",P109,"_",Q109,R109,S109,T109,U109)</f>
        <v>Other Running Cost_LG SETA Skills development_NC066_2017/2018_O_EXP_057</v>
      </c>
      <c r="Y109" s="170" t="s">
        <v>3245</v>
      </c>
    </row>
    <row r="110" spans="1:25" ht="15" thickBot="1" x14ac:dyDescent="0.4">
      <c r="A110" s="101"/>
      <c r="B110" s="171" t="s">
        <v>3003</v>
      </c>
      <c r="C110" s="114">
        <v>51000</v>
      </c>
      <c r="D110" s="114"/>
      <c r="E110" s="114"/>
      <c r="F110" s="114"/>
      <c r="G110" s="114"/>
      <c r="H110" s="114"/>
      <c r="I110" s="30" t="s">
        <v>2722</v>
      </c>
      <c r="J110" s="156" t="s">
        <v>3251</v>
      </c>
      <c r="K110" s="156" t="s">
        <v>3086</v>
      </c>
      <c r="L110" s="156" t="s">
        <v>2544</v>
      </c>
      <c r="M110" s="30" t="s">
        <v>3142</v>
      </c>
      <c r="N110" s="114">
        <v>51000</v>
      </c>
      <c r="O110" s="114" t="s">
        <v>3192</v>
      </c>
      <c r="P110" s="30" t="s">
        <v>3003</v>
      </c>
      <c r="Q110" s="30" t="s">
        <v>3383</v>
      </c>
      <c r="R110" s="30" t="s">
        <v>3255</v>
      </c>
      <c r="S110" s="30" t="s">
        <v>3253</v>
      </c>
      <c r="T110" s="30" t="s">
        <v>3257</v>
      </c>
      <c r="U110" s="157" t="s">
        <v>3308</v>
      </c>
      <c r="V110" s="30"/>
      <c r="W110" s="30"/>
      <c r="X110" s="160" t="str">
        <f>CONCATENATE(O110,"_",P110,"_",Q110,R110,S110,T110,U110)</f>
        <v>Other Running Cost_Accomodation: Workshops,Council etc_NC066_2017/2018_O_EXP_058</v>
      </c>
      <c r="Y110" s="172" t="s">
        <v>3245</v>
      </c>
    </row>
    <row r="111" spans="1:25" x14ac:dyDescent="0.35">
      <c r="A111" s="101"/>
      <c r="B111" s="158" t="s">
        <v>2961</v>
      </c>
      <c r="C111" s="210">
        <v>391600</v>
      </c>
      <c r="D111" s="159"/>
      <c r="E111" s="159"/>
      <c r="F111" s="159"/>
      <c r="G111" s="159"/>
      <c r="H111" s="159"/>
      <c r="I111" s="160" t="s">
        <v>2722</v>
      </c>
      <c r="J111" s="160" t="s">
        <v>3252</v>
      </c>
      <c r="K111" s="160" t="s">
        <v>3113</v>
      </c>
      <c r="L111" s="161" t="s">
        <v>2544</v>
      </c>
      <c r="M111" s="160" t="s">
        <v>3138</v>
      </c>
      <c r="N111" s="176">
        <v>391600</v>
      </c>
      <c r="O111" s="159" t="s">
        <v>3192</v>
      </c>
      <c r="P111" s="160" t="s">
        <v>3278</v>
      </c>
      <c r="Q111" s="160" t="s">
        <v>3383</v>
      </c>
      <c r="R111" s="160" t="s">
        <v>3255</v>
      </c>
      <c r="S111" s="160" t="s">
        <v>3253</v>
      </c>
      <c r="T111" s="160" t="s">
        <v>3257</v>
      </c>
      <c r="U111" s="162" t="s">
        <v>3309</v>
      </c>
      <c r="V111" s="160"/>
      <c r="W111" s="160"/>
      <c r="X111" s="160" t="str">
        <f>CONCATENATE(O111,"_",P111,"_",Q111,R111,S111,T111,U111)</f>
        <v>Other Running Cost_Losses Measured: Water &amp; Electricity_NC066_2017/2018_O_EXP_059</v>
      </c>
      <c r="Y111" s="163" t="s">
        <v>3245</v>
      </c>
    </row>
    <row r="112" spans="1:25" ht="15" thickBot="1" x14ac:dyDescent="0.4">
      <c r="A112" s="101"/>
      <c r="B112" s="164" t="s">
        <v>2962</v>
      </c>
      <c r="C112" s="165">
        <v>189000</v>
      </c>
      <c r="D112" s="165"/>
      <c r="E112" s="165"/>
      <c r="F112" s="165"/>
      <c r="G112" s="165"/>
      <c r="H112" s="165"/>
      <c r="I112" s="166" t="s">
        <v>2722</v>
      </c>
      <c r="J112" s="166" t="s">
        <v>3252</v>
      </c>
      <c r="K112" s="166" t="s">
        <v>3115</v>
      </c>
      <c r="L112" s="167" t="s">
        <v>2544</v>
      </c>
      <c r="M112" s="166" t="s">
        <v>3137</v>
      </c>
      <c r="N112" s="168">
        <v>189000</v>
      </c>
      <c r="O112" s="165" t="s">
        <v>0</v>
      </c>
      <c r="P112" s="166" t="s">
        <v>0</v>
      </c>
      <c r="Q112" s="166"/>
      <c r="R112" s="166"/>
      <c r="S112" s="166"/>
      <c r="T112" s="166"/>
      <c r="U112" s="174"/>
      <c r="V112" s="166"/>
      <c r="W112" s="166"/>
      <c r="X112" s="166"/>
      <c r="Y112" s="170"/>
    </row>
    <row r="113" spans="1:25" ht="15" thickBot="1" x14ac:dyDescent="0.4">
      <c r="A113" s="146"/>
      <c r="B113" s="30" t="s">
        <v>2978</v>
      </c>
      <c r="C113" s="114">
        <v>6000</v>
      </c>
      <c r="D113" s="114"/>
      <c r="E113" s="114"/>
      <c r="F113" s="114"/>
      <c r="G113" s="114"/>
      <c r="H113" s="114"/>
      <c r="I113" s="30" t="s">
        <v>2722</v>
      </c>
      <c r="J113" s="30" t="s">
        <v>3252</v>
      </c>
      <c r="K113" s="156" t="s">
        <v>3094</v>
      </c>
      <c r="L113" s="156" t="s">
        <v>2544</v>
      </c>
      <c r="M113" s="30" t="s">
        <v>3142</v>
      </c>
      <c r="N113" s="114">
        <v>6000</v>
      </c>
      <c r="O113" s="114" t="s">
        <v>3192</v>
      </c>
      <c r="P113" s="30" t="s">
        <v>2978</v>
      </c>
      <c r="Q113" s="30" t="s">
        <v>3383</v>
      </c>
      <c r="R113" s="30" t="s">
        <v>3255</v>
      </c>
      <c r="S113" s="30" t="s">
        <v>3253</v>
      </c>
      <c r="T113" s="30" t="s">
        <v>3257</v>
      </c>
      <c r="U113" s="157" t="s">
        <v>3310</v>
      </c>
      <c r="V113" s="30"/>
      <c r="W113" s="30"/>
      <c r="X113" s="30" t="str">
        <f>CONCATENATE(O113,"_",P113,"_",Q113,R113,S113,T113,U113)</f>
        <v>Other Running Cost_Deposits: Hiring of Halls Refund_NC066_2017/2018_O_EXP_060</v>
      </c>
      <c r="Y113" s="172" t="s">
        <v>3245</v>
      </c>
    </row>
    <row r="114" spans="1:25" x14ac:dyDescent="0.35">
      <c r="A114" s="101" t="s">
        <v>107</v>
      </c>
      <c r="B114" s="158" t="s">
        <v>2823</v>
      </c>
      <c r="C114" s="159">
        <v>51000</v>
      </c>
      <c r="D114" s="159"/>
      <c r="E114" s="159"/>
      <c r="F114" s="159"/>
      <c r="G114" s="159"/>
      <c r="H114" s="159"/>
      <c r="I114" s="160" t="s">
        <v>2722</v>
      </c>
      <c r="J114" s="161" t="s">
        <v>3248</v>
      </c>
      <c r="K114" s="161" t="s">
        <v>3093</v>
      </c>
      <c r="L114" s="161" t="s">
        <v>2544</v>
      </c>
      <c r="M114" s="160" t="s">
        <v>3142</v>
      </c>
      <c r="N114" s="159">
        <v>51000</v>
      </c>
      <c r="O114" s="160" t="s">
        <v>3169</v>
      </c>
      <c r="P114" s="160" t="s">
        <v>3279</v>
      </c>
      <c r="Q114" s="160" t="s">
        <v>3383</v>
      </c>
      <c r="R114" s="160" t="s">
        <v>3255</v>
      </c>
      <c r="S114" s="160" t="s">
        <v>3253</v>
      </c>
      <c r="T114" s="160" t="s">
        <v>3257</v>
      </c>
      <c r="U114" s="162" t="s">
        <v>3311</v>
      </c>
      <c r="V114" s="160"/>
      <c r="W114" s="160"/>
      <c r="X114" s="160" t="str">
        <f>CONCATENATE(O114,"_",P114,"_",Q114,R114,S114,T114,U114)</f>
        <v>Advertisements_Banners, Gazette &amp; Papers_NC066_2017/2018_O_EXP_061</v>
      </c>
      <c r="Y114" s="163" t="s">
        <v>3245</v>
      </c>
    </row>
    <row r="115" spans="1:25" x14ac:dyDescent="0.35">
      <c r="A115" s="101" t="s">
        <v>859</v>
      </c>
      <c r="B115" s="171" t="s">
        <v>2822</v>
      </c>
      <c r="C115" s="114">
        <v>50000</v>
      </c>
      <c r="D115" s="114"/>
      <c r="E115" s="114"/>
      <c r="F115" s="114"/>
      <c r="G115" s="114"/>
      <c r="H115" s="114"/>
      <c r="I115" s="30" t="s">
        <v>2722</v>
      </c>
      <c r="J115" s="156" t="s">
        <v>3248</v>
      </c>
      <c r="K115" s="156" t="s">
        <v>3093</v>
      </c>
      <c r="L115" s="156" t="s">
        <v>2544</v>
      </c>
      <c r="M115" s="30" t="s">
        <v>3142</v>
      </c>
      <c r="N115" s="114">
        <v>50000</v>
      </c>
      <c r="O115" s="114"/>
      <c r="P115" s="114"/>
      <c r="Q115" s="30"/>
      <c r="R115" s="30"/>
      <c r="S115" s="30"/>
      <c r="T115" s="30"/>
      <c r="U115" s="173"/>
      <c r="V115" s="30"/>
      <c r="W115" s="30"/>
      <c r="X115" s="30"/>
      <c r="Y115" s="172"/>
    </row>
    <row r="116" spans="1:25" ht="15" thickBot="1" x14ac:dyDescent="0.4">
      <c r="A116" s="101" t="s">
        <v>343</v>
      </c>
      <c r="B116" s="164" t="s">
        <v>2821</v>
      </c>
      <c r="C116" s="165">
        <v>88000</v>
      </c>
      <c r="D116" s="165"/>
      <c r="E116" s="165"/>
      <c r="F116" s="165"/>
      <c r="G116" s="165"/>
      <c r="H116" s="165"/>
      <c r="I116" s="166" t="s">
        <v>2722</v>
      </c>
      <c r="J116" s="167" t="s">
        <v>3248</v>
      </c>
      <c r="K116" s="167" t="s">
        <v>3093</v>
      </c>
      <c r="L116" s="167" t="s">
        <v>2544</v>
      </c>
      <c r="M116" s="166" t="s">
        <v>3142</v>
      </c>
      <c r="N116" s="165">
        <v>88000</v>
      </c>
      <c r="O116" s="165"/>
      <c r="P116" s="165"/>
      <c r="Q116" s="166"/>
      <c r="R116" s="166"/>
      <c r="S116" s="166"/>
      <c r="T116" s="166"/>
      <c r="U116" s="174"/>
      <c r="V116" s="166"/>
      <c r="W116" s="166"/>
      <c r="X116" s="166"/>
      <c r="Y116" s="170"/>
    </row>
    <row r="117" spans="1:25" ht="15" thickBot="1" x14ac:dyDescent="0.4">
      <c r="A117" s="101" t="s">
        <v>79</v>
      </c>
      <c r="B117" s="158" t="s">
        <v>2819</v>
      </c>
      <c r="C117" s="210">
        <v>2160000</v>
      </c>
      <c r="D117" s="159"/>
      <c r="E117" s="159"/>
      <c r="F117" s="159"/>
      <c r="G117" s="159"/>
      <c r="H117" s="159"/>
      <c r="I117" s="160" t="s">
        <v>2722</v>
      </c>
      <c r="J117" s="161" t="s">
        <v>3248</v>
      </c>
      <c r="K117" s="161" t="s">
        <v>3081</v>
      </c>
      <c r="L117" s="161" t="s">
        <v>2544</v>
      </c>
      <c r="M117" s="160" t="s">
        <v>3143</v>
      </c>
      <c r="N117" s="176">
        <v>2160000</v>
      </c>
      <c r="O117" s="176" t="s">
        <v>3173</v>
      </c>
      <c r="P117" s="176" t="s">
        <v>3297</v>
      </c>
      <c r="Q117" s="160" t="s">
        <v>3383</v>
      </c>
      <c r="R117" s="160" t="s">
        <v>3255</v>
      </c>
      <c r="S117" s="160" t="s">
        <v>3253</v>
      </c>
      <c r="T117" s="160" t="s">
        <v>3257</v>
      </c>
      <c r="U117" s="162" t="s">
        <v>3312</v>
      </c>
      <c r="V117" s="160"/>
      <c r="W117" s="160"/>
      <c r="X117" s="160" t="str">
        <f>CONCATENATE(O117,"_",P117,"_",Q117,R117,S117,T117,U117)</f>
        <v>Auditing_External_NC066_2017/2018_O_EXP_062</v>
      </c>
      <c r="Y117" s="163" t="s">
        <v>3245</v>
      </c>
    </row>
    <row r="118" spans="1:25" x14ac:dyDescent="0.35">
      <c r="A118" s="101" t="s">
        <v>600</v>
      </c>
      <c r="B118" s="158" t="s">
        <v>2820</v>
      </c>
      <c r="C118" s="159">
        <v>71500</v>
      </c>
      <c r="D118" s="159"/>
      <c r="E118" s="159"/>
      <c r="F118" s="159"/>
      <c r="G118" s="159"/>
      <c r="H118" s="159"/>
      <c r="I118" s="160" t="s">
        <v>2722</v>
      </c>
      <c r="J118" s="161" t="s">
        <v>3252</v>
      </c>
      <c r="K118" s="161" t="s">
        <v>3080</v>
      </c>
      <c r="L118" s="161" t="s">
        <v>2544</v>
      </c>
      <c r="M118" s="160" t="s">
        <v>3142</v>
      </c>
      <c r="N118" s="159">
        <v>71500</v>
      </c>
      <c r="O118" s="159" t="s">
        <v>3173</v>
      </c>
      <c r="P118" s="159" t="s">
        <v>3298</v>
      </c>
      <c r="Q118" s="160" t="s">
        <v>3383</v>
      </c>
      <c r="R118" s="160" t="s">
        <v>3255</v>
      </c>
      <c r="S118" s="160" t="s">
        <v>3253</v>
      </c>
      <c r="T118" s="160" t="s">
        <v>3257</v>
      </c>
      <c r="U118" s="162" t="s">
        <v>3313</v>
      </c>
      <c r="V118" s="160"/>
      <c r="W118" s="160"/>
      <c r="X118" s="160" t="str">
        <f>CONCATENATE(O118,"_",P118,"_",Q118,R118,S118,T118,U118)</f>
        <v>Auditing_Committee &amp; Internal_NC066_2017/2018_O_EXP_063</v>
      </c>
      <c r="Y118" s="163" t="s">
        <v>3245</v>
      </c>
    </row>
    <row r="119" spans="1:25" ht="15" thickBot="1" x14ac:dyDescent="0.4">
      <c r="A119" s="101" t="s">
        <v>220</v>
      </c>
      <c r="B119" s="164" t="s">
        <v>2818</v>
      </c>
      <c r="C119" s="211">
        <v>221000</v>
      </c>
      <c r="D119" s="165"/>
      <c r="E119" s="165"/>
      <c r="F119" s="165"/>
      <c r="G119" s="165"/>
      <c r="H119" s="165"/>
      <c r="I119" s="166" t="s">
        <v>2722</v>
      </c>
      <c r="J119" s="167" t="s">
        <v>3252</v>
      </c>
      <c r="K119" s="167" t="s">
        <v>3080</v>
      </c>
      <c r="L119" s="167" t="s">
        <v>2544</v>
      </c>
      <c r="M119" s="166" t="s">
        <v>3142</v>
      </c>
      <c r="N119" s="165">
        <v>221000</v>
      </c>
      <c r="O119" s="165"/>
      <c r="P119" s="165"/>
      <c r="Q119" s="166"/>
      <c r="R119" s="166"/>
      <c r="S119" s="166"/>
      <c r="T119" s="166"/>
      <c r="U119" s="174"/>
      <c r="V119" s="166"/>
      <c r="W119" s="166"/>
      <c r="X119" s="166"/>
      <c r="Y119" s="170"/>
    </row>
    <row r="120" spans="1:25" ht="15" thickBot="1" x14ac:dyDescent="0.4">
      <c r="A120" s="101" t="s">
        <v>834</v>
      </c>
      <c r="B120" s="171" t="s">
        <v>2844</v>
      </c>
      <c r="C120" s="209">
        <v>272000</v>
      </c>
      <c r="D120" s="114"/>
      <c r="E120" s="114"/>
      <c r="F120" s="114"/>
      <c r="G120" s="114"/>
      <c r="H120" s="114"/>
      <c r="I120" s="30" t="s">
        <v>2722</v>
      </c>
      <c r="J120" s="30" t="s">
        <v>3248</v>
      </c>
      <c r="K120" s="30" t="s">
        <v>3076</v>
      </c>
      <c r="L120" s="156" t="s">
        <v>2544</v>
      </c>
      <c r="M120" s="30" t="s">
        <v>3142</v>
      </c>
      <c r="N120" s="114">
        <v>272000</v>
      </c>
      <c r="O120" s="114" t="s">
        <v>3174</v>
      </c>
      <c r="P120" s="114"/>
      <c r="Q120" s="30" t="s">
        <v>3153</v>
      </c>
      <c r="R120" s="30" t="s">
        <v>3255</v>
      </c>
      <c r="S120" s="30" t="s">
        <v>3253</v>
      </c>
      <c r="T120" s="30" t="s">
        <v>3257</v>
      </c>
      <c r="U120" s="157" t="s">
        <v>3314</v>
      </c>
      <c r="V120" s="30"/>
      <c r="W120" s="30"/>
      <c r="X120" s="30" t="str">
        <f>CONCATENATE(O120,Q120,R120,S120,T120,U120)</f>
        <v>Bank Charges_NC066_2017/2018_O_EXP_064</v>
      </c>
      <c r="Y120" s="172" t="s">
        <v>3245</v>
      </c>
    </row>
    <row r="121" spans="1:25" x14ac:dyDescent="0.35">
      <c r="A121" s="101" t="s">
        <v>736</v>
      </c>
      <c r="B121" s="158" t="s">
        <v>2992</v>
      </c>
      <c r="C121" s="210">
        <v>7600000</v>
      </c>
      <c r="D121" s="159"/>
      <c r="E121" s="159"/>
      <c r="F121" s="159"/>
      <c r="G121" s="159"/>
      <c r="H121" s="159"/>
      <c r="I121" s="160" t="s">
        <v>2729</v>
      </c>
      <c r="J121" s="160" t="s">
        <v>3249</v>
      </c>
      <c r="K121" s="161" t="s">
        <v>3111</v>
      </c>
      <c r="L121" s="161" t="s">
        <v>2544</v>
      </c>
      <c r="M121" s="160" t="s">
        <v>3138</v>
      </c>
      <c r="N121" s="176">
        <f>7825400-225400</f>
        <v>7600000</v>
      </c>
      <c r="O121" s="176" t="s">
        <v>3201</v>
      </c>
      <c r="P121" s="176" t="s">
        <v>3280</v>
      </c>
      <c r="Q121" s="160" t="s">
        <v>3153</v>
      </c>
      <c r="R121" s="160" t="s">
        <v>3255</v>
      </c>
      <c r="S121" s="160" t="s">
        <v>3253</v>
      </c>
      <c r="T121" s="160" t="s">
        <v>3257</v>
      </c>
      <c r="U121" s="162" t="s">
        <v>3315</v>
      </c>
      <c r="V121" s="160"/>
      <c r="W121" s="160"/>
      <c r="X121" s="160" t="str">
        <f>CONCATENATE(O121,"_",P121,Q121,R121,S121,T121,U121)</f>
        <v>Electricity  Purchases_Bulk &amp; Small Usage_NC066_2017/2018_O_EXP_065</v>
      </c>
      <c r="Y121" s="163" t="s">
        <v>3246</v>
      </c>
    </row>
    <row r="122" spans="1:25" ht="15" thickBot="1" x14ac:dyDescent="0.4">
      <c r="A122" s="146"/>
      <c r="B122" s="164" t="s">
        <v>3014</v>
      </c>
      <c r="C122" s="211">
        <v>390200</v>
      </c>
      <c r="D122" s="165"/>
      <c r="E122" s="165"/>
      <c r="F122" s="165"/>
      <c r="G122" s="165"/>
      <c r="H122" s="165"/>
      <c r="I122" s="166" t="s">
        <v>2729</v>
      </c>
      <c r="J122" s="166" t="s">
        <v>3249</v>
      </c>
      <c r="K122" s="167" t="s">
        <v>3111</v>
      </c>
      <c r="L122" s="167" t="s">
        <v>2544</v>
      </c>
      <c r="M122" s="166" t="s">
        <v>3138</v>
      </c>
      <c r="N122" s="168">
        <v>390200</v>
      </c>
      <c r="O122" s="168"/>
      <c r="P122" s="168"/>
      <c r="Q122" s="166"/>
      <c r="R122" s="166"/>
      <c r="S122" s="166"/>
      <c r="T122" s="166"/>
      <c r="U122" s="174"/>
      <c r="V122" s="166"/>
      <c r="W122" s="166"/>
      <c r="X122" s="166"/>
      <c r="Y122" s="170"/>
    </row>
    <row r="123" spans="1:25" ht="15" thickBot="1" x14ac:dyDescent="0.4">
      <c r="A123" s="154" t="s">
        <v>57</v>
      </c>
      <c r="B123" s="171" t="s">
        <v>2644</v>
      </c>
      <c r="C123" s="114">
        <v>150000</v>
      </c>
      <c r="D123" s="114"/>
      <c r="E123" s="114"/>
      <c r="F123" s="114"/>
      <c r="G123" s="114"/>
      <c r="H123" s="114"/>
      <c r="I123" s="30" t="s">
        <v>2722</v>
      </c>
      <c r="J123" s="156" t="s">
        <v>3249</v>
      </c>
      <c r="K123" s="156" t="s">
        <v>3114</v>
      </c>
      <c r="L123" s="156" t="s">
        <v>2544</v>
      </c>
      <c r="M123" s="30" t="s">
        <v>2712</v>
      </c>
      <c r="N123" s="140">
        <v>150000</v>
      </c>
      <c r="O123" s="140" t="s">
        <v>2644</v>
      </c>
      <c r="P123" s="140"/>
      <c r="Q123" s="30" t="s">
        <v>3153</v>
      </c>
      <c r="R123" s="30" t="s">
        <v>3255</v>
      </c>
      <c r="S123" s="30" t="s">
        <v>3253</v>
      </c>
      <c r="T123" s="30" t="s">
        <v>3257</v>
      </c>
      <c r="U123" s="157" t="s">
        <v>3316</v>
      </c>
      <c r="V123" s="30"/>
      <c r="W123" s="30"/>
      <c r="X123" s="30" t="str">
        <f>CONCATENATE(O123,Q123,R123,S123,T123,U123)</f>
        <v>Chemicals_NC066_2017/2018_O_EXP_066</v>
      </c>
      <c r="Y123" s="172" t="s">
        <v>3245</v>
      </c>
    </row>
    <row r="124" spans="1:25" x14ac:dyDescent="0.35">
      <c r="A124" s="149"/>
      <c r="B124" s="158" t="s">
        <v>2845</v>
      </c>
      <c r="C124" s="159">
        <v>33600</v>
      </c>
      <c r="D124" s="159"/>
      <c r="E124" s="159"/>
      <c r="F124" s="159"/>
      <c r="G124" s="159"/>
      <c r="H124" s="159"/>
      <c r="I124" s="160" t="s">
        <v>2722</v>
      </c>
      <c r="J124" s="160" t="s">
        <v>3248</v>
      </c>
      <c r="K124" s="160" t="s">
        <v>3090</v>
      </c>
      <c r="L124" s="161" t="s">
        <v>2544</v>
      </c>
      <c r="M124" s="160" t="s">
        <v>3135</v>
      </c>
      <c r="N124" s="176">
        <v>10000</v>
      </c>
      <c r="O124" s="176" t="s">
        <v>3175</v>
      </c>
      <c r="P124" s="176" t="s">
        <v>0</v>
      </c>
      <c r="Q124" s="160" t="s">
        <v>3153</v>
      </c>
      <c r="R124" s="160" t="s">
        <v>3255</v>
      </c>
      <c r="S124" s="160" t="s">
        <v>3253</v>
      </c>
      <c r="T124" s="160" t="s">
        <v>3257</v>
      </c>
      <c r="U124" s="162" t="s">
        <v>3317</v>
      </c>
      <c r="V124" s="160"/>
      <c r="W124" s="160"/>
      <c r="X124" s="160" t="str">
        <f t="shared" ref="X124:X186" si="7">CONCATENATE(O124,Q124,R124,S124,T124,U124)</f>
        <v>Cleansing Materials_NC066_2017/2018_O_EXP_067</v>
      </c>
      <c r="Y124" s="163" t="s">
        <v>3245</v>
      </c>
    </row>
    <row r="125" spans="1:25" ht="15" thickBot="1" x14ac:dyDescent="0.4">
      <c r="A125" s="151"/>
      <c r="B125" s="164" t="s">
        <v>2845</v>
      </c>
      <c r="C125" s="165"/>
      <c r="D125" s="165"/>
      <c r="E125" s="165"/>
      <c r="F125" s="165"/>
      <c r="G125" s="165"/>
      <c r="H125" s="165"/>
      <c r="I125" s="166" t="s">
        <v>2722</v>
      </c>
      <c r="J125" s="166" t="s">
        <v>3248</v>
      </c>
      <c r="K125" s="166" t="s">
        <v>3090</v>
      </c>
      <c r="L125" s="167" t="s">
        <v>2544</v>
      </c>
      <c r="M125" s="166" t="s">
        <v>3142</v>
      </c>
      <c r="N125" s="168">
        <f>33600-10000</f>
        <v>23600</v>
      </c>
      <c r="O125" s="168"/>
      <c r="P125" s="168" t="s">
        <v>0</v>
      </c>
      <c r="Q125" s="166"/>
      <c r="R125" s="166"/>
      <c r="S125" s="166"/>
      <c r="T125" s="166"/>
      <c r="U125" s="174"/>
      <c r="V125" s="166"/>
      <c r="W125" s="166"/>
      <c r="X125" s="166" t="str">
        <f t="shared" si="7"/>
        <v/>
      </c>
      <c r="Y125" s="170"/>
    </row>
    <row r="126" spans="1:25" x14ac:dyDescent="0.35">
      <c r="A126" s="148" t="s">
        <v>758</v>
      </c>
      <c r="B126" s="171" t="s">
        <v>2660</v>
      </c>
      <c r="C126" s="114">
        <v>50000</v>
      </c>
      <c r="D126" s="114"/>
      <c r="E126" s="114"/>
      <c r="F126" s="114"/>
      <c r="G126" s="114"/>
      <c r="H126" s="114"/>
      <c r="I126" s="30" t="s">
        <v>2722</v>
      </c>
      <c r="J126" s="30" t="s">
        <v>3252</v>
      </c>
      <c r="K126" s="30" t="s">
        <v>3088</v>
      </c>
      <c r="L126" s="156" t="s">
        <v>2544</v>
      </c>
      <c r="M126" s="30" t="s">
        <v>3142</v>
      </c>
      <c r="N126" s="114">
        <v>50000</v>
      </c>
      <c r="O126" s="114" t="s">
        <v>3189</v>
      </c>
      <c r="P126" s="114"/>
      <c r="Q126" s="30" t="s">
        <v>3153</v>
      </c>
      <c r="R126" s="30" t="s">
        <v>3255</v>
      </c>
      <c r="S126" s="30" t="s">
        <v>3253</v>
      </c>
      <c r="T126" s="30" t="s">
        <v>3257</v>
      </c>
      <c r="U126" s="157" t="s">
        <v>3318</v>
      </c>
      <c r="V126" s="30"/>
      <c r="W126" s="30"/>
      <c r="X126" s="30" t="str">
        <f t="shared" si="7"/>
        <v>Mayoral Projects_NC066_2017/2018_O_EXP_068</v>
      </c>
      <c r="Y126" s="172" t="s">
        <v>3245</v>
      </c>
    </row>
    <row r="127" spans="1:25" x14ac:dyDescent="0.35">
      <c r="A127" s="101"/>
      <c r="B127" s="171" t="s">
        <v>2933</v>
      </c>
      <c r="C127" s="114">
        <v>3500</v>
      </c>
      <c r="D127" s="114"/>
      <c r="E127" s="114"/>
      <c r="F127" s="114"/>
      <c r="G127" s="114"/>
      <c r="H127" s="114"/>
      <c r="I127" s="30" t="s">
        <v>2722</v>
      </c>
      <c r="J127" s="30" t="s">
        <v>3252</v>
      </c>
      <c r="K127" s="30" t="s">
        <v>3088</v>
      </c>
      <c r="L127" s="156" t="s">
        <v>2544</v>
      </c>
      <c r="M127" s="30" t="s">
        <v>3142</v>
      </c>
      <c r="N127" s="114">
        <v>3500</v>
      </c>
      <c r="O127" s="114"/>
      <c r="P127" s="114"/>
      <c r="Q127" s="30"/>
      <c r="R127" s="30"/>
      <c r="S127" s="30"/>
      <c r="T127" s="30"/>
      <c r="U127" s="173"/>
      <c r="V127" s="30"/>
      <c r="W127" s="30"/>
      <c r="X127" s="30" t="str">
        <f t="shared" si="7"/>
        <v/>
      </c>
      <c r="Y127" s="172"/>
    </row>
    <row r="128" spans="1:25" x14ac:dyDescent="0.35">
      <c r="A128" s="101"/>
      <c r="B128" s="171" t="s">
        <v>2923</v>
      </c>
      <c r="C128" s="114">
        <v>3500</v>
      </c>
      <c r="D128" s="114"/>
      <c r="E128" s="114"/>
      <c r="F128" s="114"/>
      <c r="G128" s="114"/>
      <c r="H128" s="114"/>
      <c r="I128" s="30" t="s">
        <v>2722</v>
      </c>
      <c r="J128" s="30" t="s">
        <v>3252</v>
      </c>
      <c r="K128" s="30" t="s">
        <v>3088</v>
      </c>
      <c r="L128" s="156" t="s">
        <v>2544</v>
      </c>
      <c r="M128" s="30" t="s">
        <v>3142</v>
      </c>
      <c r="N128" s="114">
        <v>3500</v>
      </c>
      <c r="O128" s="114"/>
      <c r="P128" s="114"/>
      <c r="Q128" s="30"/>
      <c r="R128" s="30"/>
      <c r="S128" s="30"/>
      <c r="T128" s="30"/>
      <c r="U128" s="173"/>
      <c r="V128" s="30"/>
      <c r="W128" s="30"/>
      <c r="X128" s="30" t="str">
        <f t="shared" si="7"/>
        <v/>
      </c>
      <c r="Y128" s="172"/>
    </row>
    <row r="129" spans="1:25" x14ac:dyDescent="0.35">
      <c r="A129" s="101"/>
      <c r="B129" s="171" t="s">
        <v>2926</v>
      </c>
      <c r="C129" s="114">
        <v>3500</v>
      </c>
      <c r="D129" s="114"/>
      <c r="E129" s="114"/>
      <c r="F129" s="114"/>
      <c r="G129" s="114"/>
      <c r="H129" s="114"/>
      <c r="I129" s="30" t="s">
        <v>2722</v>
      </c>
      <c r="J129" s="30" t="s">
        <v>3252</v>
      </c>
      <c r="K129" s="30" t="s">
        <v>3088</v>
      </c>
      <c r="L129" s="156" t="s">
        <v>2544</v>
      </c>
      <c r="M129" s="30" t="s">
        <v>3142</v>
      </c>
      <c r="N129" s="114">
        <v>3500</v>
      </c>
      <c r="O129" s="114"/>
      <c r="P129" s="114"/>
      <c r="Q129" s="30"/>
      <c r="R129" s="30"/>
      <c r="S129" s="30"/>
      <c r="T129" s="30"/>
      <c r="U129" s="173"/>
      <c r="V129" s="30"/>
      <c r="W129" s="30"/>
      <c r="X129" s="30" t="str">
        <f t="shared" si="7"/>
        <v/>
      </c>
      <c r="Y129" s="172"/>
    </row>
    <row r="130" spans="1:25" x14ac:dyDescent="0.35">
      <c r="A130" s="101"/>
      <c r="B130" s="171" t="s">
        <v>2934</v>
      </c>
      <c r="C130" s="114">
        <v>3500</v>
      </c>
      <c r="D130" s="114"/>
      <c r="E130" s="114"/>
      <c r="F130" s="114"/>
      <c r="G130" s="114"/>
      <c r="H130" s="114"/>
      <c r="I130" s="30" t="s">
        <v>2722</v>
      </c>
      <c r="J130" s="30" t="s">
        <v>3252</v>
      </c>
      <c r="K130" s="30" t="s">
        <v>3088</v>
      </c>
      <c r="L130" s="156" t="s">
        <v>2544</v>
      </c>
      <c r="M130" s="30" t="s">
        <v>3142</v>
      </c>
      <c r="N130" s="114">
        <f>3000-2400</f>
        <v>600</v>
      </c>
      <c r="O130" s="114"/>
      <c r="P130" s="114"/>
      <c r="Q130" s="30"/>
      <c r="R130" s="30"/>
      <c r="S130" s="30"/>
      <c r="T130" s="30"/>
      <c r="U130" s="173"/>
      <c r="V130" s="30"/>
      <c r="W130" s="30"/>
      <c r="X130" s="30" t="str">
        <f t="shared" si="7"/>
        <v/>
      </c>
      <c r="Y130" s="172"/>
    </row>
    <row r="131" spans="1:25" x14ac:dyDescent="0.35">
      <c r="A131" s="101"/>
      <c r="B131" s="171" t="s">
        <v>2934</v>
      </c>
      <c r="C131" s="114"/>
      <c r="D131" s="114"/>
      <c r="E131" s="114"/>
      <c r="F131" s="114"/>
      <c r="G131" s="114"/>
      <c r="H131" s="114"/>
      <c r="I131" s="30" t="s">
        <v>2722</v>
      </c>
      <c r="J131" s="30" t="s">
        <v>3252</v>
      </c>
      <c r="K131" s="30" t="s">
        <v>3088</v>
      </c>
      <c r="L131" s="156" t="s">
        <v>2544</v>
      </c>
      <c r="M131" s="30" t="s">
        <v>3144</v>
      </c>
      <c r="N131" s="114">
        <f>3500-600</f>
        <v>2900</v>
      </c>
      <c r="O131" s="114"/>
      <c r="P131" s="114"/>
      <c r="Q131" s="30"/>
      <c r="R131" s="30"/>
      <c r="S131" s="30"/>
      <c r="T131" s="30"/>
      <c r="U131" s="173"/>
      <c r="V131" s="30"/>
      <c r="W131" s="30"/>
      <c r="X131" s="30" t="str">
        <f t="shared" si="7"/>
        <v/>
      </c>
      <c r="Y131" s="172"/>
    </row>
    <row r="132" spans="1:25" x14ac:dyDescent="0.35">
      <c r="A132" s="101"/>
      <c r="B132" s="171" t="s">
        <v>2925</v>
      </c>
      <c r="C132" s="114">
        <v>3500</v>
      </c>
      <c r="D132" s="114"/>
      <c r="E132" s="114"/>
      <c r="F132" s="114"/>
      <c r="G132" s="114"/>
      <c r="H132" s="114"/>
      <c r="I132" s="30" t="s">
        <v>2722</v>
      </c>
      <c r="J132" s="30" t="s">
        <v>3252</v>
      </c>
      <c r="K132" s="30" t="s">
        <v>3088</v>
      </c>
      <c r="L132" s="156" t="s">
        <v>2544</v>
      </c>
      <c r="M132" s="30" t="s">
        <v>3144</v>
      </c>
      <c r="N132" s="114">
        <v>3500</v>
      </c>
      <c r="O132" s="114"/>
      <c r="P132" s="114"/>
      <c r="Q132" s="30"/>
      <c r="R132" s="30"/>
      <c r="S132" s="30"/>
      <c r="T132" s="30"/>
      <c r="U132" s="173"/>
      <c r="V132" s="30"/>
      <c r="W132" s="30"/>
      <c r="X132" s="30" t="str">
        <f t="shared" si="7"/>
        <v/>
      </c>
      <c r="Y132" s="172"/>
    </row>
    <row r="133" spans="1:25" x14ac:dyDescent="0.35">
      <c r="A133" s="101"/>
      <c r="B133" s="171" t="s">
        <v>2929</v>
      </c>
      <c r="C133" s="114">
        <v>3500</v>
      </c>
      <c r="D133" s="114"/>
      <c r="E133" s="114"/>
      <c r="F133" s="114"/>
      <c r="G133" s="114"/>
      <c r="H133" s="114"/>
      <c r="I133" s="30" t="s">
        <v>2722</v>
      </c>
      <c r="J133" s="30" t="s">
        <v>3252</v>
      </c>
      <c r="K133" s="30" t="s">
        <v>3088</v>
      </c>
      <c r="L133" s="156" t="s">
        <v>2544</v>
      </c>
      <c r="M133" s="30" t="s">
        <v>3144</v>
      </c>
      <c r="N133" s="114">
        <v>3500</v>
      </c>
      <c r="O133" s="114"/>
      <c r="P133" s="114"/>
      <c r="Q133" s="30"/>
      <c r="R133" s="30"/>
      <c r="S133" s="30"/>
      <c r="T133" s="30"/>
      <c r="U133" s="173"/>
      <c r="V133" s="30"/>
      <c r="W133" s="30"/>
      <c r="X133" s="30" t="str">
        <f t="shared" si="7"/>
        <v/>
      </c>
      <c r="Y133" s="172"/>
    </row>
    <row r="134" spans="1:25" x14ac:dyDescent="0.35">
      <c r="A134" s="101"/>
      <c r="B134" s="171" t="s">
        <v>2932</v>
      </c>
      <c r="C134" s="114">
        <v>3500</v>
      </c>
      <c r="D134" s="114"/>
      <c r="E134" s="114"/>
      <c r="F134" s="114"/>
      <c r="G134" s="114"/>
      <c r="H134" s="114"/>
      <c r="I134" s="30" t="s">
        <v>2722</v>
      </c>
      <c r="J134" s="30" t="s">
        <v>3252</v>
      </c>
      <c r="K134" s="30" t="s">
        <v>3088</v>
      </c>
      <c r="L134" s="156" t="s">
        <v>2544</v>
      </c>
      <c r="M134" s="30" t="s">
        <v>3144</v>
      </c>
      <c r="N134" s="114">
        <v>3500</v>
      </c>
      <c r="O134" s="114"/>
      <c r="P134" s="114"/>
      <c r="Q134" s="30"/>
      <c r="R134" s="30"/>
      <c r="S134" s="30"/>
      <c r="T134" s="30"/>
      <c r="U134" s="173"/>
      <c r="V134" s="30"/>
      <c r="W134" s="30"/>
      <c r="X134" s="30" t="str">
        <f t="shared" si="7"/>
        <v/>
      </c>
      <c r="Y134" s="172"/>
    </row>
    <row r="135" spans="1:25" x14ac:dyDescent="0.35">
      <c r="A135" s="101"/>
      <c r="B135" s="171" t="s">
        <v>2924</v>
      </c>
      <c r="C135" s="114">
        <v>3500</v>
      </c>
      <c r="D135" s="114"/>
      <c r="E135" s="114"/>
      <c r="F135" s="114"/>
      <c r="G135" s="114"/>
      <c r="H135" s="114"/>
      <c r="I135" s="30" t="s">
        <v>2722</v>
      </c>
      <c r="J135" s="30" t="s">
        <v>3252</v>
      </c>
      <c r="K135" s="30" t="s">
        <v>3088</v>
      </c>
      <c r="L135" s="156" t="s">
        <v>2544</v>
      </c>
      <c r="M135" s="30" t="s">
        <v>3144</v>
      </c>
      <c r="N135" s="114">
        <v>3500</v>
      </c>
      <c r="O135" s="114"/>
      <c r="P135" s="114"/>
      <c r="Q135" s="30"/>
      <c r="R135" s="30"/>
      <c r="S135" s="30"/>
      <c r="T135" s="30"/>
      <c r="U135" s="173"/>
      <c r="V135" s="30"/>
      <c r="W135" s="30"/>
      <c r="X135" s="30" t="str">
        <f t="shared" si="7"/>
        <v/>
      </c>
      <c r="Y135" s="172"/>
    </row>
    <row r="136" spans="1:25" x14ac:dyDescent="0.35">
      <c r="A136" s="101"/>
      <c r="B136" s="171" t="s">
        <v>2931</v>
      </c>
      <c r="C136" s="114">
        <v>3500</v>
      </c>
      <c r="D136" s="114"/>
      <c r="E136" s="114"/>
      <c r="F136" s="114"/>
      <c r="G136" s="114"/>
      <c r="H136" s="114"/>
      <c r="I136" s="30" t="s">
        <v>2722</v>
      </c>
      <c r="J136" s="30" t="s">
        <v>3252</v>
      </c>
      <c r="K136" s="30" t="s">
        <v>3088</v>
      </c>
      <c r="L136" s="156" t="s">
        <v>2544</v>
      </c>
      <c r="M136" s="30" t="s">
        <v>3144</v>
      </c>
      <c r="N136" s="114">
        <v>3500</v>
      </c>
      <c r="O136" s="114"/>
      <c r="P136" s="114"/>
      <c r="Q136" s="30"/>
      <c r="R136" s="30"/>
      <c r="S136" s="30"/>
      <c r="T136" s="30"/>
      <c r="U136" s="173"/>
      <c r="V136" s="30"/>
      <c r="W136" s="30"/>
      <c r="X136" s="30" t="str">
        <f t="shared" si="7"/>
        <v/>
      </c>
      <c r="Y136" s="172"/>
    </row>
    <row r="137" spans="1:25" x14ac:dyDescent="0.35">
      <c r="A137" s="101"/>
      <c r="B137" s="171" t="s">
        <v>2930</v>
      </c>
      <c r="C137" s="114">
        <v>3500</v>
      </c>
      <c r="D137" s="114"/>
      <c r="E137" s="114"/>
      <c r="F137" s="114"/>
      <c r="G137" s="114"/>
      <c r="H137" s="114"/>
      <c r="I137" s="30" t="s">
        <v>2722</v>
      </c>
      <c r="J137" s="30" t="s">
        <v>3252</v>
      </c>
      <c r="K137" s="30" t="s">
        <v>3088</v>
      </c>
      <c r="L137" s="156" t="s">
        <v>2544</v>
      </c>
      <c r="M137" s="30" t="s">
        <v>3144</v>
      </c>
      <c r="N137" s="114">
        <v>3500</v>
      </c>
      <c r="O137" s="114"/>
      <c r="P137" s="114"/>
      <c r="Q137" s="30"/>
      <c r="R137" s="30"/>
      <c r="S137" s="30"/>
      <c r="T137" s="30"/>
      <c r="U137" s="173"/>
      <c r="V137" s="30"/>
      <c r="W137" s="30"/>
      <c r="X137" s="30" t="str">
        <f t="shared" si="7"/>
        <v/>
      </c>
      <c r="Y137" s="172"/>
    </row>
    <row r="138" spans="1:25" x14ac:dyDescent="0.35">
      <c r="A138" s="101"/>
      <c r="B138" s="171" t="s">
        <v>2927</v>
      </c>
      <c r="C138" s="114">
        <v>3500</v>
      </c>
      <c r="D138" s="114"/>
      <c r="E138" s="114"/>
      <c r="F138" s="114"/>
      <c r="G138" s="114"/>
      <c r="H138" s="114"/>
      <c r="I138" s="30" t="s">
        <v>2722</v>
      </c>
      <c r="J138" s="30" t="s">
        <v>3252</v>
      </c>
      <c r="K138" s="30" t="s">
        <v>3088</v>
      </c>
      <c r="L138" s="156" t="s">
        <v>2544</v>
      </c>
      <c r="M138" s="30" t="s">
        <v>3144</v>
      </c>
      <c r="N138" s="114">
        <v>3500</v>
      </c>
      <c r="O138" s="114"/>
      <c r="P138" s="114"/>
      <c r="Q138" s="30"/>
      <c r="R138" s="30"/>
      <c r="S138" s="30"/>
      <c r="T138" s="30"/>
      <c r="U138" s="173"/>
      <c r="V138" s="30"/>
      <c r="W138" s="30"/>
      <c r="X138" s="30" t="str">
        <f t="shared" si="7"/>
        <v/>
      </c>
      <c r="Y138" s="172"/>
    </row>
    <row r="139" spans="1:25" x14ac:dyDescent="0.35">
      <c r="A139" s="101"/>
      <c r="B139" s="171" t="s">
        <v>2928</v>
      </c>
      <c r="C139" s="114">
        <v>3500</v>
      </c>
      <c r="D139" s="114"/>
      <c r="E139" s="114"/>
      <c r="F139" s="114"/>
      <c r="G139" s="114"/>
      <c r="H139" s="114"/>
      <c r="I139" s="30" t="s">
        <v>2722</v>
      </c>
      <c r="J139" s="30" t="s">
        <v>3252</v>
      </c>
      <c r="K139" s="30" t="s">
        <v>3088</v>
      </c>
      <c r="L139" s="156" t="s">
        <v>2544</v>
      </c>
      <c r="M139" s="30" t="s">
        <v>3144</v>
      </c>
      <c r="N139" s="114">
        <v>3500</v>
      </c>
      <c r="O139" s="114"/>
      <c r="P139" s="114"/>
      <c r="Q139" s="30"/>
      <c r="R139" s="30"/>
      <c r="S139" s="30"/>
      <c r="T139" s="30"/>
      <c r="U139" s="173"/>
      <c r="V139" s="30"/>
      <c r="W139" s="30"/>
      <c r="X139" s="30" t="str">
        <f t="shared" si="7"/>
        <v/>
      </c>
      <c r="Y139" s="172"/>
    </row>
    <row r="140" spans="1:25" ht="15" thickBot="1" x14ac:dyDescent="0.4">
      <c r="A140" s="101"/>
      <c r="B140" s="164" t="s">
        <v>2857</v>
      </c>
      <c r="C140" s="165">
        <v>0</v>
      </c>
      <c r="D140" s="165"/>
      <c r="E140" s="165"/>
      <c r="F140" s="165"/>
      <c r="G140" s="165"/>
      <c r="H140" s="165"/>
      <c r="I140" s="166" t="s">
        <v>2722</v>
      </c>
      <c r="J140" s="167" t="s">
        <v>3252</v>
      </c>
      <c r="K140" s="167" t="s">
        <v>3088</v>
      </c>
      <c r="L140" s="167" t="s">
        <v>2544</v>
      </c>
      <c r="M140" s="166" t="s">
        <v>3137</v>
      </c>
      <c r="N140" s="168">
        <v>0</v>
      </c>
      <c r="O140" s="168"/>
      <c r="P140" s="168"/>
      <c r="Q140" s="166"/>
      <c r="R140" s="166"/>
      <c r="S140" s="166"/>
      <c r="T140" s="166"/>
      <c r="U140" s="174"/>
      <c r="V140" s="166"/>
      <c r="W140" s="166"/>
      <c r="X140" s="166" t="str">
        <f t="shared" si="7"/>
        <v/>
      </c>
      <c r="Y140" s="170"/>
    </row>
    <row r="141" spans="1:25" x14ac:dyDescent="0.35">
      <c r="A141" s="101" t="s">
        <v>635</v>
      </c>
      <c r="B141" s="171" t="s">
        <v>2886</v>
      </c>
      <c r="C141" s="114">
        <v>0</v>
      </c>
      <c r="D141" s="114"/>
      <c r="E141" s="114"/>
      <c r="F141" s="114"/>
      <c r="G141" s="114"/>
      <c r="H141" s="114"/>
      <c r="I141" s="30" t="s">
        <v>2722</v>
      </c>
      <c r="J141" s="156" t="s">
        <v>3251</v>
      </c>
      <c r="K141" s="30" t="s">
        <v>3083</v>
      </c>
      <c r="L141" s="156" t="s">
        <v>2544</v>
      </c>
      <c r="M141" s="30" t="s">
        <v>3142</v>
      </c>
      <c r="N141" s="114">
        <v>0</v>
      </c>
      <c r="O141" s="114" t="s">
        <v>3210</v>
      </c>
      <c r="P141" s="114"/>
      <c r="Q141" s="30" t="s">
        <v>3153</v>
      </c>
      <c r="R141" s="30" t="s">
        <v>3255</v>
      </c>
      <c r="S141" s="30" t="s">
        <v>3253</v>
      </c>
      <c r="T141" s="30" t="s">
        <v>3257</v>
      </c>
      <c r="U141" s="157" t="s">
        <v>3319</v>
      </c>
      <c r="V141" s="30"/>
      <c r="W141" s="30"/>
      <c r="X141" s="30" t="str">
        <f t="shared" si="7"/>
        <v>Financial System Expenses_NC066_2017/2018_O_EXP_069</v>
      </c>
      <c r="Y141" s="172" t="s">
        <v>3245</v>
      </c>
    </row>
    <row r="142" spans="1:25" x14ac:dyDescent="0.35">
      <c r="A142" s="101"/>
      <c r="B142" s="171" t="s">
        <v>2885</v>
      </c>
      <c r="C142" s="114">
        <v>30000</v>
      </c>
      <c r="D142" s="114"/>
      <c r="E142" s="114"/>
      <c r="F142" s="114"/>
      <c r="G142" s="114"/>
      <c r="H142" s="114"/>
      <c r="I142" s="30" t="s">
        <v>2722</v>
      </c>
      <c r="J142" s="30" t="s">
        <v>3251</v>
      </c>
      <c r="K142" s="30" t="s">
        <v>3083</v>
      </c>
      <c r="L142" s="156" t="s">
        <v>2544</v>
      </c>
      <c r="M142" s="30" t="s">
        <v>3142</v>
      </c>
      <c r="N142" s="114">
        <v>30000</v>
      </c>
      <c r="O142" s="114"/>
      <c r="P142" s="114"/>
      <c r="Q142" s="30"/>
      <c r="R142" s="30"/>
      <c r="S142" s="30"/>
      <c r="T142" s="30"/>
      <c r="U142" s="173"/>
      <c r="V142" s="30"/>
      <c r="W142" s="30"/>
      <c r="X142" s="30" t="str">
        <f t="shared" si="7"/>
        <v/>
      </c>
      <c r="Y142" s="172"/>
    </row>
    <row r="143" spans="1:25" x14ac:dyDescent="0.35">
      <c r="A143" s="101" t="s">
        <v>235</v>
      </c>
      <c r="B143" s="171" t="s">
        <v>2636</v>
      </c>
      <c r="C143" s="114">
        <v>21000</v>
      </c>
      <c r="D143" s="114"/>
      <c r="E143" s="114"/>
      <c r="F143" s="114"/>
      <c r="G143" s="114"/>
      <c r="H143" s="114"/>
      <c r="I143" s="30" t="s">
        <v>2722</v>
      </c>
      <c r="J143" s="30" t="s">
        <v>3251</v>
      </c>
      <c r="K143" s="30" t="s">
        <v>3083</v>
      </c>
      <c r="L143" s="156" t="s">
        <v>2544</v>
      </c>
      <c r="M143" s="30" t="s">
        <v>3142</v>
      </c>
      <c r="N143" s="114">
        <v>21000</v>
      </c>
      <c r="O143" s="114"/>
      <c r="P143" s="114"/>
      <c r="Q143" s="30"/>
      <c r="R143" s="30"/>
      <c r="S143" s="30"/>
      <c r="T143" s="30"/>
      <c r="U143" s="173"/>
      <c r="V143" s="30"/>
      <c r="W143" s="30"/>
      <c r="X143" s="30" t="str">
        <f t="shared" si="7"/>
        <v/>
      </c>
      <c r="Y143" s="172"/>
    </row>
    <row r="144" spans="1:25" x14ac:dyDescent="0.35">
      <c r="A144" s="101"/>
      <c r="B144" s="171" t="s">
        <v>2914</v>
      </c>
      <c r="C144" s="114">
        <v>91500</v>
      </c>
      <c r="D144" s="114"/>
      <c r="E144" s="114"/>
      <c r="F144" s="114"/>
      <c r="G144" s="114"/>
      <c r="H144" s="114"/>
      <c r="I144" s="30" t="s">
        <v>2722</v>
      </c>
      <c r="J144" s="30" t="s">
        <v>3251</v>
      </c>
      <c r="K144" s="30" t="s">
        <v>3083</v>
      </c>
      <c r="L144" s="156" t="s">
        <v>2544</v>
      </c>
      <c r="M144" s="30" t="s">
        <v>3139</v>
      </c>
      <c r="N144" s="114">
        <v>91500</v>
      </c>
      <c r="O144" s="114"/>
      <c r="P144" s="114"/>
      <c r="Q144" s="30"/>
      <c r="R144" s="30"/>
      <c r="S144" s="30"/>
      <c r="T144" s="30"/>
      <c r="U144" s="173"/>
      <c r="V144" s="30"/>
      <c r="W144" s="30"/>
      <c r="X144" s="30" t="str">
        <f t="shared" si="7"/>
        <v/>
      </c>
      <c r="Y144" s="172"/>
    </row>
    <row r="145" spans="1:25" x14ac:dyDescent="0.35">
      <c r="A145" s="101"/>
      <c r="B145" s="171" t="s">
        <v>2913</v>
      </c>
      <c r="C145" s="114">
        <v>31700</v>
      </c>
      <c r="D145" s="114"/>
      <c r="E145" s="114"/>
      <c r="F145" s="114"/>
      <c r="G145" s="114"/>
      <c r="H145" s="114"/>
      <c r="I145" s="30" t="s">
        <v>2722</v>
      </c>
      <c r="J145" s="30" t="s">
        <v>3251</v>
      </c>
      <c r="K145" s="30" t="s">
        <v>3083</v>
      </c>
      <c r="L145" s="156" t="s">
        <v>2544</v>
      </c>
      <c r="M145" s="30" t="s">
        <v>3139</v>
      </c>
      <c r="N145" s="114">
        <v>31700</v>
      </c>
      <c r="O145" s="114"/>
      <c r="P145" s="114"/>
      <c r="Q145" s="30"/>
      <c r="R145" s="30"/>
      <c r="S145" s="30"/>
      <c r="T145" s="30"/>
      <c r="U145" s="173"/>
      <c r="V145" s="30"/>
      <c r="W145" s="30"/>
      <c r="X145" s="30" t="str">
        <f t="shared" si="7"/>
        <v/>
      </c>
      <c r="Y145" s="172"/>
    </row>
    <row r="146" spans="1:25" x14ac:dyDescent="0.35">
      <c r="A146" s="101"/>
      <c r="B146" s="171" t="s">
        <v>2912</v>
      </c>
      <c r="C146" s="209">
        <v>401900</v>
      </c>
      <c r="D146" s="114"/>
      <c r="E146" s="114"/>
      <c r="F146" s="114"/>
      <c r="G146" s="114"/>
      <c r="H146" s="114"/>
      <c r="I146" s="30" t="s">
        <v>2722</v>
      </c>
      <c r="J146" s="30" t="s">
        <v>3251</v>
      </c>
      <c r="K146" s="30" t="s">
        <v>3083</v>
      </c>
      <c r="L146" s="156" t="s">
        <v>2544</v>
      </c>
      <c r="M146" s="30" t="s">
        <v>3139</v>
      </c>
      <c r="N146" s="114">
        <v>401900</v>
      </c>
      <c r="O146" s="114"/>
      <c r="P146" s="114"/>
      <c r="Q146" s="30"/>
      <c r="R146" s="30"/>
      <c r="S146" s="30"/>
      <c r="T146" s="30"/>
      <c r="U146" s="173"/>
      <c r="V146" s="30"/>
      <c r="W146" s="30"/>
      <c r="X146" s="30" t="str">
        <f t="shared" si="7"/>
        <v/>
      </c>
      <c r="Y146" s="172"/>
    </row>
    <row r="147" spans="1:25" x14ac:dyDescent="0.35">
      <c r="A147" s="101"/>
      <c r="B147" s="171" t="s">
        <v>2911</v>
      </c>
      <c r="C147" s="209">
        <v>275000</v>
      </c>
      <c r="D147" s="114"/>
      <c r="E147" s="114"/>
      <c r="F147" s="114"/>
      <c r="G147" s="114"/>
      <c r="H147" s="114"/>
      <c r="I147" s="30" t="s">
        <v>2722</v>
      </c>
      <c r="J147" s="30" t="s">
        <v>3251</v>
      </c>
      <c r="K147" s="30" t="s">
        <v>3083</v>
      </c>
      <c r="L147" s="156" t="s">
        <v>2544</v>
      </c>
      <c r="M147" s="30" t="s">
        <v>3139</v>
      </c>
      <c r="N147" s="114">
        <v>275000</v>
      </c>
      <c r="O147" s="114"/>
      <c r="P147" s="114"/>
      <c r="Q147" s="30"/>
      <c r="R147" s="30"/>
      <c r="S147" s="30"/>
      <c r="T147" s="30"/>
      <c r="U147" s="173"/>
      <c r="V147" s="30"/>
      <c r="W147" s="30"/>
      <c r="X147" s="30" t="str">
        <f t="shared" si="7"/>
        <v/>
      </c>
      <c r="Y147" s="172"/>
    </row>
    <row r="148" spans="1:25" x14ac:dyDescent="0.35">
      <c r="A148" s="101"/>
      <c r="B148" s="171" t="s">
        <v>2917</v>
      </c>
      <c r="C148" s="114">
        <v>84000</v>
      </c>
      <c r="D148" s="114"/>
      <c r="E148" s="114"/>
      <c r="F148" s="114"/>
      <c r="G148" s="114"/>
      <c r="H148" s="114"/>
      <c r="I148" s="30" t="s">
        <v>2722</v>
      </c>
      <c r="J148" s="30" t="s">
        <v>3251</v>
      </c>
      <c r="K148" s="30" t="s">
        <v>3083</v>
      </c>
      <c r="L148" s="156" t="s">
        <v>2544</v>
      </c>
      <c r="M148" s="30" t="s">
        <v>3139</v>
      </c>
      <c r="N148" s="114">
        <v>84000</v>
      </c>
      <c r="O148" s="114"/>
      <c r="P148" s="114"/>
      <c r="Q148" s="30"/>
      <c r="R148" s="30"/>
      <c r="S148" s="30"/>
      <c r="T148" s="30"/>
      <c r="U148" s="173"/>
      <c r="V148" s="30"/>
      <c r="W148" s="30"/>
      <c r="X148" s="30" t="str">
        <f t="shared" si="7"/>
        <v/>
      </c>
      <c r="Y148" s="172"/>
    </row>
    <row r="149" spans="1:25" ht="15" thickBot="1" x14ac:dyDescent="0.4">
      <c r="A149" s="101"/>
      <c r="B149" s="164" t="s">
        <v>2915</v>
      </c>
      <c r="C149" s="165">
        <v>117000</v>
      </c>
      <c r="D149" s="165"/>
      <c r="E149" s="165"/>
      <c r="F149" s="165"/>
      <c r="G149" s="165"/>
      <c r="H149" s="165"/>
      <c r="I149" s="166" t="s">
        <v>2722</v>
      </c>
      <c r="J149" s="166" t="s">
        <v>3251</v>
      </c>
      <c r="K149" s="166" t="s">
        <v>3083</v>
      </c>
      <c r="L149" s="167" t="s">
        <v>2544</v>
      </c>
      <c r="M149" s="166" t="s">
        <v>3139</v>
      </c>
      <c r="N149" s="165">
        <v>117000</v>
      </c>
      <c r="O149" s="165"/>
      <c r="P149" s="165"/>
      <c r="Q149" s="166"/>
      <c r="R149" s="166"/>
      <c r="S149" s="166"/>
      <c r="T149" s="166"/>
      <c r="U149" s="174"/>
      <c r="V149" s="166"/>
      <c r="W149" s="166"/>
      <c r="X149" s="166" t="str">
        <f t="shared" si="7"/>
        <v/>
      </c>
      <c r="Y149" s="170"/>
    </row>
    <row r="150" spans="1:25" x14ac:dyDescent="0.35">
      <c r="A150" s="101" t="s">
        <v>77</v>
      </c>
      <c r="B150" s="171" t="s">
        <v>2874</v>
      </c>
      <c r="C150" s="114">
        <v>19000</v>
      </c>
      <c r="D150" s="114"/>
      <c r="E150" s="114"/>
      <c r="F150" s="114"/>
      <c r="G150" s="114"/>
      <c r="H150" s="114"/>
      <c r="I150" s="30" t="s">
        <v>2737</v>
      </c>
      <c r="J150" s="30" t="s">
        <v>3252</v>
      </c>
      <c r="K150" s="30" t="s">
        <v>3084</v>
      </c>
      <c r="L150" s="156" t="s">
        <v>2544</v>
      </c>
      <c r="M150" s="30" t="s">
        <v>3142</v>
      </c>
      <c r="N150" s="114">
        <v>19000</v>
      </c>
      <c r="O150" s="114" t="s">
        <v>3176</v>
      </c>
      <c r="P150" s="114"/>
      <c r="Q150" s="30" t="s">
        <v>3153</v>
      </c>
      <c r="R150" s="30" t="s">
        <v>3255</v>
      </c>
      <c r="S150" s="30" t="s">
        <v>3253</v>
      </c>
      <c r="T150" s="30" t="s">
        <v>3257</v>
      </c>
      <c r="U150" s="157" t="s">
        <v>3320</v>
      </c>
      <c r="V150" s="30"/>
      <c r="W150" s="30"/>
      <c r="X150" s="30" t="str">
        <f t="shared" si="7"/>
        <v>Consultant Fees_NC066_2017/2018_O_EXP_070</v>
      </c>
      <c r="Y150" s="172" t="s">
        <v>3245</v>
      </c>
    </row>
    <row r="151" spans="1:25" x14ac:dyDescent="0.35">
      <c r="A151" s="101" t="s">
        <v>540</v>
      </c>
      <c r="B151" s="171" t="s">
        <v>2875</v>
      </c>
      <c r="C151" s="209">
        <v>226000</v>
      </c>
      <c r="D151" s="114"/>
      <c r="E151" s="114"/>
      <c r="F151" s="114"/>
      <c r="G151" s="114"/>
      <c r="H151" s="114"/>
      <c r="I151" s="30" t="s">
        <v>2737</v>
      </c>
      <c r="J151" s="30" t="s">
        <v>3252</v>
      </c>
      <c r="K151" s="30" t="s">
        <v>3084</v>
      </c>
      <c r="L151" s="156" t="s">
        <v>2544</v>
      </c>
      <c r="M151" s="30" t="s">
        <v>3142</v>
      </c>
      <c r="N151" s="114">
        <v>226000</v>
      </c>
      <c r="O151" s="114"/>
      <c r="P151" s="114"/>
      <c r="Q151" s="30"/>
      <c r="R151" s="30"/>
      <c r="S151" s="30"/>
      <c r="T151" s="30"/>
      <c r="U151" s="173"/>
      <c r="V151" s="30"/>
      <c r="W151" s="30"/>
      <c r="X151" s="30" t="str">
        <f t="shared" si="7"/>
        <v/>
      </c>
      <c r="Y151" s="172"/>
    </row>
    <row r="152" spans="1:25" x14ac:dyDescent="0.35">
      <c r="A152" s="101" t="s">
        <v>308</v>
      </c>
      <c r="B152" s="171" t="s">
        <v>2876</v>
      </c>
      <c r="C152" s="209">
        <v>630000</v>
      </c>
      <c r="D152" s="114"/>
      <c r="E152" s="114"/>
      <c r="F152" s="114"/>
      <c r="G152" s="114"/>
      <c r="H152" s="114"/>
      <c r="I152" s="30" t="s">
        <v>2737</v>
      </c>
      <c r="J152" s="30" t="s">
        <v>3252</v>
      </c>
      <c r="K152" s="30" t="s">
        <v>3084</v>
      </c>
      <c r="L152" s="156" t="s">
        <v>2544</v>
      </c>
      <c r="M152" s="30" t="s">
        <v>3136</v>
      </c>
      <c r="N152" s="140">
        <v>570000</v>
      </c>
      <c r="O152" s="140"/>
      <c r="P152" s="140"/>
      <c r="Q152" s="30"/>
      <c r="R152" s="30"/>
      <c r="S152" s="30"/>
      <c r="T152" s="30"/>
      <c r="U152" s="173"/>
      <c r="V152" s="30"/>
      <c r="W152" s="30"/>
      <c r="X152" s="30" t="str">
        <f t="shared" si="7"/>
        <v/>
      </c>
      <c r="Y152" s="172"/>
    </row>
    <row r="153" spans="1:25" x14ac:dyDescent="0.35">
      <c r="A153" s="101"/>
      <c r="B153" s="171" t="s">
        <v>2876</v>
      </c>
      <c r="C153" s="114"/>
      <c r="D153" s="114"/>
      <c r="E153" s="114"/>
      <c r="F153" s="114"/>
      <c r="G153" s="114"/>
      <c r="H153" s="114"/>
      <c r="I153" s="30" t="s">
        <v>2737</v>
      </c>
      <c r="J153" s="30" t="s">
        <v>3252</v>
      </c>
      <c r="K153" s="30" t="s">
        <v>3084</v>
      </c>
      <c r="L153" s="156" t="s">
        <v>2544</v>
      </c>
      <c r="M153" s="30" t="s">
        <v>3142</v>
      </c>
      <c r="N153" s="140">
        <v>60000</v>
      </c>
      <c r="O153" s="140"/>
      <c r="P153" s="140"/>
      <c r="Q153" s="30"/>
      <c r="R153" s="30"/>
      <c r="S153" s="30"/>
      <c r="T153" s="30"/>
      <c r="U153" s="173"/>
      <c r="V153" s="30"/>
      <c r="W153" s="30"/>
      <c r="X153" s="30" t="str">
        <f t="shared" si="7"/>
        <v/>
      </c>
      <c r="Y153" s="172"/>
    </row>
    <row r="154" spans="1:25" x14ac:dyDescent="0.35">
      <c r="A154" s="101"/>
      <c r="B154" s="171" t="s">
        <v>2877</v>
      </c>
      <c r="C154" s="209">
        <v>1130000</v>
      </c>
      <c r="D154" s="114"/>
      <c r="E154" s="114"/>
      <c r="F154" s="114"/>
      <c r="G154" s="114"/>
      <c r="H154" s="114"/>
      <c r="I154" s="30" t="s">
        <v>2737</v>
      </c>
      <c r="J154" s="30" t="s">
        <v>3252</v>
      </c>
      <c r="K154" s="30" t="s">
        <v>3084</v>
      </c>
      <c r="L154" s="156" t="s">
        <v>2544</v>
      </c>
      <c r="M154" s="30" t="s">
        <v>3136</v>
      </c>
      <c r="N154" s="114">
        <v>1130000</v>
      </c>
      <c r="O154" s="114"/>
      <c r="P154" s="114"/>
      <c r="Q154" s="30"/>
      <c r="R154" s="30"/>
      <c r="S154" s="30"/>
      <c r="T154" s="30"/>
      <c r="U154" s="173"/>
      <c r="V154" s="30"/>
      <c r="W154" s="30"/>
      <c r="X154" s="30" t="str">
        <f t="shared" si="7"/>
        <v/>
      </c>
      <c r="Y154" s="172"/>
    </row>
    <row r="155" spans="1:25" ht="15" thickBot="1" x14ac:dyDescent="0.4">
      <c r="A155" s="101"/>
      <c r="B155" s="164" t="s">
        <v>2884</v>
      </c>
      <c r="C155" s="165">
        <v>8400</v>
      </c>
      <c r="D155" s="165"/>
      <c r="E155" s="165"/>
      <c r="F155" s="165"/>
      <c r="G155" s="165"/>
      <c r="H155" s="165"/>
      <c r="I155" s="166" t="s">
        <v>2737</v>
      </c>
      <c r="J155" s="166" t="s">
        <v>3252</v>
      </c>
      <c r="K155" s="166" t="s">
        <v>3084</v>
      </c>
      <c r="L155" s="167" t="s">
        <v>2544</v>
      </c>
      <c r="M155" s="166" t="s">
        <v>3142</v>
      </c>
      <c r="N155" s="165">
        <v>8400</v>
      </c>
      <c r="O155" s="165"/>
      <c r="P155" s="165"/>
      <c r="Q155" s="166"/>
      <c r="R155" s="166"/>
      <c r="S155" s="166"/>
      <c r="T155" s="166"/>
      <c r="U155" s="174"/>
      <c r="V155" s="166"/>
      <c r="W155" s="166"/>
      <c r="X155" s="166" t="str">
        <f t="shared" si="7"/>
        <v/>
      </c>
      <c r="Y155" s="170"/>
    </row>
    <row r="156" spans="1:25" ht="15" thickBot="1" x14ac:dyDescent="0.4">
      <c r="A156" s="101"/>
      <c r="B156" s="30" t="s">
        <v>3032</v>
      </c>
      <c r="C156" s="114">
        <v>50000</v>
      </c>
      <c r="D156" s="114"/>
      <c r="E156" s="114"/>
      <c r="F156" s="114"/>
      <c r="G156" s="114"/>
      <c r="H156" s="114"/>
      <c r="I156" s="30" t="s">
        <v>2723</v>
      </c>
      <c r="J156" s="30" t="s">
        <v>3252</v>
      </c>
      <c r="K156" s="30" t="s">
        <v>3084</v>
      </c>
      <c r="L156" s="156" t="s">
        <v>2544</v>
      </c>
      <c r="M156" s="30" t="s">
        <v>3142</v>
      </c>
      <c r="N156" s="114">
        <v>50000</v>
      </c>
      <c r="O156" s="114" t="s">
        <v>3194</v>
      </c>
      <c r="P156" s="114" t="s">
        <v>3296</v>
      </c>
      <c r="Q156" s="30" t="s">
        <v>3153</v>
      </c>
      <c r="R156" s="30" t="s">
        <v>3255</v>
      </c>
      <c r="S156" s="30" t="s">
        <v>3253</v>
      </c>
      <c r="T156" s="30" t="s">
        <v>3257</v>
      </c>
      <c r="U156" s="157" t="s">
        <v>3321</v>
      </c>
      <c r="V156" s="30"/>
      <c r="W156" s="30"/>
      <c r="X156" s="30" t="str">
        <f>CONCATENATE(O156,"_",P156,Q156,R156,S156,T156,U156)</f>
        <v>Contracted Fees_Electrical Services_NC066_2017/2018_O_EXP_071</v>
      </c>
      <c r="Y156" s="172" t="s">
        <v>3245</v>
      </c>
    </row>
    <row r="157" spans="1:25" ht="15" thickBot="1" x14ac:dyDescent="0.4">
      <c r="A157" s="102"/>
      <c r="B157" s="180" t="s">
        <v>2919</v>
      </c>
      <c r="C157" s="208">
        <v>996000</v>
      </c>
      <c r="D157" s="179"/>
      <c r="E157" s="179"/>
      <c r="F157" s="179"/>
      <c r="G157" s="179"/>
      <c r="H157" s="179"/>
      <c r="I157" s="180" t="s">
        <v>2723</v>
      </c>
      <c r="J157" s="180" t="s">
        <v>3249</v>
      </c>
      <c r="K157" s="180" t="s">
        <v>3117</v>
      </c>
      <c r="L157" s="181" t="s">
        <v>2544</v>
      </c>
      <c r="M157" s="180" t="s">
        <v>3140</v>
      </c>
      <c r="N157" s="179">
        <v>996000</v>
      </c>
      <c r="O157" s="179" t="s">
        <v>3194</v>
      </c>
      <c r="P157" s="179" t="s">
        <v>3295</v>
      </c>
      <c r="Q157" s="180" t="s">
        <v>3153</v>
      </c>
      <c r="R157" s="180" t="s">
        <v>3255</v>
      </c>
      <c r="S157" s="180" t="s">
        <v>3253</v>
      </c>
      <c r="T157" s="180" t="s">
        <v>3257</v>
      </c>
      <c r="U157" s="182" t="s">
        <v>3322</v>
      </c>
      <c r="V157" s="180"/>
      <c r="W157" s="180"/>
      <c r="X157" s="180" t="str">
        <f>CONCATENATE(O157,"_",P157,Q157,R157,S157,T157,U157)</f>
        <v>Contracted Fees_UDS Toilets_NC066_2017/2018_O_EXP_072</v>
      </c>
      <c r="Y157" s="183" t="s">
        <v>3245</v>
      </c>
    </row>
    <row r="158" spans="1:25" x14ac:dyDescent="0.35">
      <c r="A158" s="158"/>
      <c r="B158" s="160" t="s">
        <v>3049</v>
      </c>
      <c r="C158" s="159">
        <v>40000</v>
      </c>
      <c r="D158" s="159"/>
      <c r="E158" s="159"/>
      <c r="F158" s="159"/>
      <c r="G158" s="159"/>
      <c r="H158" s="159"/>
      <c r="I158" s="160" t="s">
        <v>3037</v>
      </c>
      <c r="J158" s="160" t="s">
        <v>3248</v>
      </c>
      <c r="K158" s="160" t="s">
        <v>3095</v>
      </c>
      <c r="L158" s="161" t="s">
        <v>2544</v>
      </c>
      <c r="M158" s="160" t="s">
        <v>3142</v>
      </c>
      <c r="N158" s="159">
        <v>40000</v>
      </c>
      <c r="O158" s="159" t="s">
        <v>3177</v>
      </c>
      <c r="P158" s="159"/>
      <c r="Q158" s="160" t="s">
        <v>3153</v>
      </c>
      <c r="R158" s="160" t="s">
        <v>3255</v>
      </c>
      <c r="S158" s="160" t="s">
        <v>3256</v>
      </c>
      <c r="T158" s="160" t="s">
        <v>3257</v>
      </c>
      <c r="U158" s="162" t="s">
        <v>3323</v>
      </c>
      <c r="V158" s="160"/>
      <c r="W158" s="160"/>
      <c r="X158" s="160" t="str">
        <f t="shared" si="7"/>
        <v>Contributed PPE_NC066_2017/2018_C_EXP_073</v>
      </c>
      <c r="Y158" s="163" t="s">
        <v>3245</v>
      </c>
    </row>
    <row r="159" spans="1:25" x14ac:dyDescent="0.35">
      <c r="A159" s="171" t="s">
        <v>838</v>
      </c>
      <c r="B159" s="30" t="s">
        <v>3053</v>
      </c>
      <c r="C159" s="114">
        <v>50000</v>
      </c>
      <c r="D159" s="114"/>
      <c r="E159" s="114"/>
      <c r="F159" s="114"/>
      <c r="G159" s="114"/>
      <c r="H159" s="114"/>
      <c r="I159" s="30" t="s">
        <v>3037</v>
      </c>
      <c r="J159" s="30" t="s">
        <v>3248</v>
      </c>
      <c r="K159" s="30" t="s">
        <v>3095</v>
      </c>
      <c r="L159" s="156" t="s">
        <v>2544</v>
      </c>
      <c r="M159" s="30" t="s">
        <v>3142</v>
      </c>
      <c r="N159" s="114">
        <v>50000</v>
      </c>
      <c r="O159" s="114"/>
      <c r="P159" s="114"/>
      <c r="Q159" s="30"/>
      <c r="R159" s="30"/>
      <c r="S159" s="30"/>
      <c r="T159" s="30"/>
      <c r="U159" s="173"/>
      <c r="V159" s="30"/>
      <c r="W159" s="30"/>
      <c r="X159" s="30" t="str">
        <f t="shared" si="7"/>
        <v/>
      </c>
      <c r="Y159" s="172"/>
    </row>
    <row r="160" spans="1:25" x14ac:dyDescent="0.35">
      <c r="A160" s="171"/>
      <c r="B160" s="30" t="s">
        <v>3052</v>
      </c>
      <c r="C160" s="114">
        <v>30000</v>
      </c>
      <c r="D160" s="114"/>
      <c r="E160" s="114"/>
      <c r="F160" s="114"/>
      <c r="G160" s="114"/>
      <c r="H160" s="114"/>
      <c r="I160" s="30" t="s">
        <v>3037</v>
      </c>
      <c r="J160" s="30" t="s">
        <v>3248</v>
      </c>
      <c r="K160" s="30" t="s">
        <v>3095</v>
      </c>
      <c r="L160" s="156" t="s">
        <v>2544</v>
      </c>
      <c r="M160" s="30" t="s">
        <v>3142</v>
      </c>
      <c r="N160" s="114">
        <v>30000</v>
      </c>
      <c r="O160" s="114"/>
      <c r="P160" s="114"/>
      <c r="Q160" s="30"/>
      <c r="R160" s="30"/>
      <c r="S160" s="30"/>
      <c r="T160" s="30"/>
      <c r="U160" s="173"/>
      <c r="V160" s="30"/>
      <c r="W160" s="30"/>
      <c r="X160" s="30" t="str">
        <f t="shared" si="7"/>
        <v/>
      </c>
      <c r="Y160" s="172"/>
    </row>
    <row r="161" spans="1:27" x14ac:dyDescent="0.35">
      <c r="A161" s="171"/>
      <c r="B161" s="30" t="s">
        <v>3050</v>
      </c>
      <c r="C161" s="114">
        <v>60000</v>
      </c>
      <c r="D161" s="114"/>
      <c r="E161" s="114"/>
      <c r="F161" s="114"/>
      <c r="G161" s="114"/>
      <c r="H161" s="114"/>
      <c r="I161" s="30" t="s">
        <v>3037</v>
      </c>
      <c r="J161" s="30" t="s">
        <v>3248</v>
      </c>
      <c r="K161" s="30" t="s">
        <v>3095</v>
      </c>
      <c r="L161" s="156" t="s">
        <v>2544</v>
      </c>
      <c r="M161" s="30" t="s">
        <v>3142</v>
      </c>
      <c r="N161" s="114">
        <v>60000</v>
      </c>
      <c r="O161" s="114"/>
      <c r="P161" s="114"/>
      <c r="Q161" s="30"/>
      <c r="R161" s="30"/>
      <c r="S161" s="30"/>
      <c r="T161" s="30"/>
      <c r="U161" s="173"/>
      <c r="V161" s="30"/>
      <c r="W161" s="30"/>
      <c r="X161" s="30" t="str">
        <f t="shared" si="7"/>
        <v/>
      </c>
      <c r="Y161" s="172"/>
    </row>
    <row r="162" spans="1:27" ht="15" thickBot="1" x14ac:dyDescent="0.4">
      <c r="A162" s="164" t="s">
        <v>53</v>
      </c>
      <c r="B162" s="166" t="s">
        <v>3051</v>
      </c>
      <c r="C162" s="165">
        <v>30000</v>
      </c>
      <c r="D162" s="165"/>
      <c r="E162" s="165"/>
      <c r="F162" s="165"/>
      <c r="G162" s="165"/>
      <c r="H162" s="165"/>
      <c r="I162" s="166" t="s">
        <v>3037</v>
      </c>
      <c r="J162" s="166" t="s">
        <v>3248</v>
      </c>
      <c r="K162" s="166" t="s">
        <v>3095</v>
      </c>
      <c r="L162" s="167" t="s">
        <v>2544</v>
      </c>
      <c r="M162" s="166" t="s">
        <v>3142</v>
      </c>
      <c r="N162" s="165">
        <v>30000</v>
      </c>
      <c r="O162" s="165"/>
      <c r="P162" s="165"/>
      <c r="Q162" s="166"/>
      <c r="R162" s="166"/>
      <c r="S162" s="166"/>
      <c r="T162" s="166"/>
      <c r="U162" s="174"/>
      <c r="V162" s="166"/>
      <c r="W162" s="166"/>
      <c r="X162" s="166" t="str">
        <f t="shared" si="7"/>
        <v/>
      </c>
      <c r="Y162" s="170"/>
    </row>
    <row r="163" spans="1:27" x14ac:dyDescent="0.35">
      <c r="A163" s="148" t="s">
        <v>350</v>
      </c>
      <c r="B163" s="171" t="s">
        <v>3012</v>
      </c>
      <c r="C163" s="209">
        <v>2200000</v>
      </c>
      <c r="D163" s="114"/>
      <c r="E163" s="114"/>
      <c r="F163" s="114"/>
      <c r="G163" s="114"/>
      <c r="H163" s="114"/>
      <c r="I163" s="30" t="s">
        <v>2730</v>
      </c>
      <c r="J163" s="30" t="s">
        <v>3251</v>
      </c>
      <c r="K163" s="30" t="s">
        <v>3089</v>
      </c>
      <c r="L163" s="156" t="s">
        <v>2544</v>
      </c>
      <c r="M163" s="30" t="s">
        <v>3137</v>
      </c>
      <c r="N163" s="114">
        <v>2200000</v>
      </c>
      <c r="O163" s="114" t="s">
        <v>3178</v>
      </c>
      <c r="P163" s="114"/>
      <c r="Q163" s="30" t="s">
        <v>3153</v>
      </c>
      <c r="R163" s="30" t="s">
        <v>3255</v>
      </c>
      <c r="S163" s="30" t="s">
        <v>3253</v>
      </c>
      <c r="T163" s="30" t="s">
        <v>3257</v>
      </c>
      <c r="U163" s="157" t="s">
        <v>3324</v>
      </c>
      <c r="V163" s="30"/>
      <c r="W163" s="30"/>
      <c r="X163" s="30" t="str">
        <f t="shared" si="7"/>
        <v>Councillors Allowances_NC066_2017/2018_O_EXP_074</v>
      </c>
      <c r="Y163" s="172" t="s">
        <v>3245</v>
      </c>
    </row>
    <row r="164" spans="1:27" ht="15" thickBot="1" x14ac:dyDescent="0.4">
      <c r="A164" s="101" t="s">
        <v>604</v>
      </c>
      <c r="B164" s="171" t="s">
        <v>3010</v>
      </c>
      <c r="C164" s="114">
        <v>159800</v>
      </c>
      <c r="D164" s="114"/>
      <c r="E164" s="114"/>
      <c r="F164" s="114"/>
      <c r="G164" s="114"/>
      <c r="H164" s="114"/>
      <c r="I164" s="30" t="s">
        <v>2730</v>
      </c>
      <c r="J164" s="30" t="s">
        <v>3251</v>
      </c>
      <c r="K164" s="30" t="s">
        <v>3089</v>
      </c>
      <c r="L164" s="156" t="s">
        <v>2544</v>
      </c>
      <c r="M164" s="30" t="s">
        <v>3137</v>
      </c>
      <c r="N164" s="114">
        <v>159800</v>
      </c>
      <c r="O164" s="114"/>
      <c r="P164" s="114"/>
      <c r="Q164" s="30"/>
      <c r="R164" s="30"/>
      <c r="S164" s="30"/>
      <c r="T164" s="30"/>
      <c r="U164" s="173"/>
      <c r="V164" s="30"/>
      <c r="W164" s="30"/>
      <c r="X164" s="30" t="str">
        <f t="shared" si="7"/>
        <v/>
      </c>
      <c r="Y164" s="172"/>
    </row>
    <row r="165" spans="1:27" ht="15" thickBot="1" x14ac:dyDescent="0.4">
      <c r="A165" s="101" t="s">
        <v>224</v>
      </c>
      <c r="B165" s="171" t="s">
        <v>3013</v>
      </c>
      <c r="C165" s="114">
        <v>25200</v>
      </c>
      <c r="D165" s="114"/>
      <c r="E165" s="114"/>
      <c r="F165" s="114"/>
      <c r="G165" s="114"/>
      <c r="H165" s="114"/>
      <c r="I165" s="30" t="s">
        <v>2730</v>
      </c>
      <c r="J165" s="30" t="s">
        <v>3251</v>
      </c>
      <c r="K165" s="30" t="s">
        <v>3089</v>
      </c>
      <c r="L165" s="156" t="s">
        <v>2544</v>
      </c>
      <c r="M165" s="30" t="s">
        <v>3137</v>
      </c>
      <c r="N165" s="114">
        <v>25200</v>
      </c>
      <c r="O165" s="114"/>
      <c r="P165" s="114"/>
      <c r="Q165" s="30"/>
      <c r="R165" s="30"/>
      <c r="S165" s="30"/>
      <c r="T165" s="30"/>
      <c r="U165" s="173"/>
      <c r="V165" s="30"/>
      <c r="W165" s="30"/>
      <c r="X165" s="30" t="str">
        <f t="shared" si="7"/>
        <v/>
      </c>
      <c r="Y165" s="172"/>
      <c r="AA165" s="147"/>
    </row>
    <row r="166" spans="1:27" ht="15" thickBot="1" x14ac:dyDescent="0.4">
      <c r="A166" s="101"/>
      <c r="B166" s="164" t="s">
        <v>3011</v>
      </c>
      <c r="C166" s="211">
        <v>228000</v>
      </c>
      <c r="D166" s="165"/>
      <c r="E166" s="165"/>
      <c r="F166" s="165"/>
      <c r="G166" s="165"/>
      <c r="H166" s="165"/>
      <c r="I166" s="166" t="s">
        <v>2730</v>
      </c>
      <c r="J166" s="166" t="s">
        <v>3251</v>
      </c>
      <c r="K166" s="166" t="s">
        <v>3089</v>
      </c>
      <c r="L166" s="167" t="s">
        <v>2544</v>
      </c>
      <c r="M166" s="166" t="s">
        <v>3137</v>
      </c>
      <c r="N166" s="165">
        <v>228000</v>
      </c>
      <c r="O166" s="165"/>
      <c r="P166" s="165"/>
      <c r="Q166" s="166"/>
      <c r="R166" s="166"/>
      <c r="S166" s="166"/>
      <c r="T166" s="166"/>
      <c r="U166" s="174"/>
      <c r="V166" s="166"/>
      <c r="W166" s="166"/>
      <c r="X166" s="166" t="str">
        <f t="shared" si="7"/>
        <v/>
      </c>
      <c r="Y166" s="170"/>
    </row>
    <row r="167" spans="1:27" ht="15" thickBot="1" x14ac:dyDescent="0.4">
      <c r="A167" s="101"/>
      <c r="B167" s="164" t="s">
        <v>3054</v>
      </c>
      <c r="C167" s="211">
        <v>240000</v>
      </c>
      <c r="D167" s="165"/>
      <c r="E167" s="165"/>
      <c r="F167" s="165"/>
      <c r="G167" s="165"/>
      <c r="H167" s="165"/>
      <c r="I167" s="166" t="s">
        <v>2722</v>
      </c>
      <c r="J167" s="166" t="s">
        <v>3252</v>
      </c>
      <c r="K167" s="166" t="s">
        <v>3088</v>
      </c>
      <c r="L167" s="167" t="s">
        <v>2544</v>
      </c>
      <c r="M167" s="166" t="s">
        <v>3137</v>
      </c>
      <c r="N167" s="168">
        <v>240000</v>
      </c>
      <c r="O167" s="168" t="s">
        <v>3281</v>
      </c>
      <c r="P167" s="168"/>
      <c r="Q167" s="166" t="s">
        <v>3153</v>
      </c>
      <c r="R167" s="166" t="s">
        <v>3255</v>
      </c>
      <c r="S167" s="166" t="s">
        <v>3253</v>
      </c>
      <c r="T167" s="166" t="s">
        <v>3257</v>
      </c>
      <c r="U167" s="169" t="s">
        <v>3325</v>
      </c>
      <c r="V167" s="166"/>
      <c r="W167" s="166"/>
      <c r="X167" s="166" t="str">
        <f t="shared" si="7"/>
        <v>Ward Committee Expenses_NC066_2017/2018_O_EXP_075</v>
      </c>
      <c r="Y167" s="170" t="s">
        <v>3245</v>
      </c>
    </row>
    <row r="168" spans="1:27" x14ac:dyDescent="0.35">
      <c r="A168" s="101"/>
      <c r="B168" s="158" t="s">
        <v>3005</v>
      </c>
      <c r="C168" s="210">
        <v>298000</v>
      </c>
      <c r="D168" s="159"/>
      <c r="E168" s="159"/>
      <c r="F168" s="159"/>
      <c r="G168" s="159"/>
      <c r="H168" s="159"/>
      <c r="I168" s="160" t="s">
        <v>2727</v>
      </c>
      <c r="J168" s="160" t="s">
        <v>3248</v>
      </c>
      <c r="K168" s="160" t="s">
        <v>3076</v>
      </c>
      <c r="L168" s="161" t="s">
        <v>2544</v>
      </c>
      <c r="M168" s="160" t="s">
        <v>3138</v>
      </c>
      <c r="N168" s="159">
        <v>298000</v>
      </c>
      <c r="O168" s="159" t="s">
        <v>3179</v>
      </c>
      <c r="P168" s="159"/>
      <c r="Q168" s="160" t="s">
        <v>3153</v>
      </c>
      <c r="R168" s="160" t="s">
        <v>3255</v>
      </c>
      <c r="S168" s="160" t="s">
        <v>3253</v>
      </c>
      <c r="T168" s="160" t="s">
        <v>3257</v>
      </c>
      <c r="U168" s="162" t="s">
        <v>3326</v>
      </c>
      <c r="V168" s="160"/>
      <c r="W168" s="160"/>
      <c r="X168" s="160" t="str">
        <f t="shared" si="7"/>
        <v>Debt Impairment_NC066_2017/2018_O_EXP_076</v>
      </c>
      <c r="Y168" s="163" t="s">
        <v>3245</v>
      </c>
    </row>
    <row r="169" spans="1:27" x14ac:dyDescent="0.35">
      <c r="A169" s="101"/>
      <c r="B169" s="171" t="s">
        <v>3009</v>
      </c>
      <c r="C169" s="114">
        <v>120000</v>
      </c>
      <c r="D169" s="114"/>
      <c r="E169" s="114"/>
      <c r="F169" s="114"/>
      <c r="G169" s="114"/>
      <c r="H169" s="114"/>
      <c r="I169" s="30" t="s">
        <v>2727</v>
      </c>
      <c r="J169" s="30" t="s">
        <v>3248</v>
      </c>
      <c r="K169" s="30" t="s">
        <v>3076</v>
      </c>
      <c r="L169" s="156" t="s">
        <v>2544</v>
      </c>
      <c r="M169" s="30" t="s">
        <v>3139</v>
      </c>
      <c r="N169" s="114">
        <v>120000</v>
      </c>
      <c r="O169" s="114"/>
      <c r="P169" s="114"/>
      <c r="Q169" s="30"/>
      <c r="R169" s="30"/>
      <c r="S169" s="30"/>
      <c r="T169" s="30"/>
      <c r="U169" s="173"/>
      <c r="V169" s="30"/>
      <c r="W169" s="30"/>
      <c r="X169" s="30" t="str">
        <f t="shared" si="7"/>
        <v/>
      </c>
      <c r="Y169" s="172"/>
    </row>
    <row r="170" spans="1:27" x14ac:dyDescent="0.35">
      <c r="A170" s="101"/>
      <c r="B170" s="171" t="s">
        <v>3004</v>
      </c>
      <c r="C170" s="209">
        <v>641800</v>
      </c>
      <c r="D170" s="114"/>
      <c r="E170" s="114"/>
      <c r="F170" s="114"/>
      <c r="G170" s="114"/>
      <c r="H170" s="114"/>
      <c r="I170" s="30" t="s">
        <v>2727</v>
      </c>
      <c r="J170" s="30" t="s">
        <v>3248</v>
      </c>
      <c r="K170" s="30" t="s">
        <v>3076</v>
      </c>
      <c r="L170" s="156" t="s">
        <v>2544</v>
      </c>
      <c r="M170" s="30" t="s">
        <v>3139</v>
      </c>
      <c r="N170" s="114">
        <v>641800</v>
      </c>
      <c r="O170" s="114"/>
      <c r="P170" s="114"/>
      <c r="Q170" s="30"/>
      <c r="R170" s="30"/>
      <c r="S170" s="30"/>
      <c r="T170" s="30"/>
      <c r="U170" s="173"/>
      <c r="V170" s="30"/>
      <c r="W170" s="30"/>
      <c r="X170" s="30" t="str">
        <f t="shared" si="7"/>
        <v/>
      </c>
      <c r="Y170" s="172"/>
    </row>
    <row r="171" spans="1:27" x14ac:dyDescent="0.35">
      <c r="A171" s="101"/>
      <c r="B171" s="171" t="s">
        <v>3008</v>
      </c>
      <c r="C171" s="209">
        <v>506700</v>
      </c>
      <c r="D171" s="114"/>
      <c r="E171" s="114"/>
      <c r="F171" s="114"/>
      <c r="G171" s="114"/>
      <c r="H171" s="114"/>
      <c r="I171" s="30" t="s">
        <v>2727</v>
      </c>
      <c r="J171" s="30" t="s">
        <v>3248</v>
      </c>
      <c r="K171" s="30" t="s">
        <v>3076</v>
      </c>
      <c r="L171" s="156" t="s">
        <v>2544</v>
      </c>
      <c r="M171" s="30" t="s">
        <v>3143</v>
      </c>
      <c r="N171" s="114">
        <v>506700</v>
      </c>
      <c r="O171" s="114"/>
      <c r="P171" s="114"/>
      <c r="Q171" s="30"/>
      <c r="R171" s="30"/>
      <c r="S171" s="30"/>
      <c r="T171" s="30"/>
      <c r="U171" s="173"/>
      <c r="V171" s="30"/>
      <c r="W171" s="30"/>
      <c r="X171" s="30" t="str">
        <f t="shared" si="7"/>
        <v/>
      </c>
      <c r="Y171" s="172"/>
    </row>
    <row r="172" spans="1:27" x14ac:dyDescent="0.35">
      <c r="A172" s="101" t="s">
        <v>839</v>
      </c>
      <c r="B172" s="171" t="s">
        <v>3007</v>
      </c>
      <c r="C172" s="209">
        <v>557900</v>
      </c>
      <c r="D172" s="114"/>
      <c r="E172" s="114"/>
      <c r="F172" s="114"/>
      <c r="G172" s="114"/>
      <c r="H172" s="114"/>
      <c r="I172" s="30" t="s">
        <v>2727</v>
      </c>
      <c r="J172" s="30" t="s">
        <v>3248</v>
      </c>
      <c r="K172" s="30" t="s">
        <v>3076</v>
      </c>
      <c r="L172" s="156" t="s">
        <v>2544</v>
      </c>
      <c r="M172" s="30" t="s">
        <v>3140</v>
      </c>
      <c r="N172" s="114">
        <v>557900</v>
      </c>
      <c r="O172" s="114"/>
      <c r="P172" s="114"/>
      <c r="Q172" s="30"/>
      <c r="R172" s="30"/>
      <c r="S172" s="30"/>
      <c r="T172" s="30"/>
      <c r="U172" s="173"/>
      <c r="V172" s="30"/>
      <c r="W172" s="30"/>
      <c r="X172" s="30" t="str">
        <f t="shared" si="7"/>
        <v/>
      </c>
      <c r="Y172" s="172"/>
    </row>
    <row r="173" spans="1:27" ht="15" thickBot="1" x14ac:dyDescent="0.4">
      <c r="A173" s="101"/>
      <c r="B173" s="164" t="s">
        <v>3006</v>
      </c>
      <c r="C173" s="211">
        <v>314000</v>
      </c>
      <c r="D173" s="165"/>
      <c r="E173" s="165"/>
      <c r="F173" s="165"/>
      <c r="G173" s="165"/>
      <c r="H173" s="165"/>
      <c r="I173" s="166" t="s">
        <v>2727</v>
      </c>
      <c r="J173" s="166" t="s">
        <v>3248</v>
      </c>
      <c r="K173" s="166" t="s">
        <v>3076</v>
      </c>
      <c r="L173" s="167" t="s">
        <v>2544</v>
      </c>
      <c r="M173" s="166" t="s">
        <v>3141</v>
      </c>
      <c r="N173" s="165">
        <v>314000</v>
      </c>
      <c r="O173" s="165"/>
      <c r="P173" s="165"/>
      <c r="Q173" s="166"/>
      <c r="R173" s="166"/>
      <c r="S173" s="166"/>
      <c r="T173" s="166"/>
      <c r="U173" s="174"/>
      <c r="V173" s="166"/>
      <c r="W173" s="166"/>
      <c r="X173" s="166" t="str">
        <f t="shared" si="7"/>
        <v/>
      </c>
      <c r="Y173" s="170"/>
    </row>
    <row r="174" spans="1:27" x14ac:dyDescent="0.35">
      <c r="A174" s="101" t="s">
        <v>734</v>
      </c>
      <c r="B174" s="171" t="s">
        <v>2849</v>
      </c>
      <c r="C174" s="209">
        <v>400000</v>
      </c>
      <c r="D174" s="114"/>
      <c r="E174" s="114"/>
      <c r="F174" s="114"/>
      <c r="G174" s="114"/>
      <c r="H174" s="114"/>
      <c r="I174" s="30" t="s">
        <v>2726</v>
      </c>
      <c r="J174" s="30" t="s">
        <v>3249</v>
      </c>
      <c r="K174" s="30" t="s">
        <v>3104</v>
      </c>
      <c r="L174" s="156" t="s">
        <v>2544</v>
      </c>
      <c r="M174" s="30" t="s">
        <v>2712</v>
      </c>
      <c r="N174" s="140">
        <v>400000</v>
      </c>
      <c r="O174" s="140" t="s">
        <v>3195</v>
      </c>
      <c r="P174" s="140"/>
      <c r="Q174" s="30" t="s">
        <v>3153</v>
      </c>
      <c r="R174" s="30" t="s">
        <v>3255</v>
      </c>
      <c r="S174" s="30" t="s">
        <v>3253</v>
      </c>
      <c r="T174" s="30" t="s">
        <v>3257</v>
      </c>
      <c r="U174" s="157" t="s">
        <v>3327</v>
      </c>
      <c r="V174" s="30"/>
      <c r="W174" s="30"/>
      <c r="X174" s="30" t="str">
        <f t="shared" si="7"/>
        <v>Depreciation_NC066_2017/2018_O_EXP_077</v>
      </c>
      <c r="Y174" s="172" t="s">
        <v>3245</v>
      </c>
    </row>
    <row r="175" spans="1:27" ht="15" thickBot="1" x14ac:dyDescent="0.4">
      <c r="A175" s="101"/>
      <c r="B175" s="164" t="s">
        <v>2850</v>
      </c>
      <c r="C175" s="165">
        <v>0</v>
      </c>
      <c r="D175" s="165"/>
      <c r="E175" s="165"/>
      <c r="F175" s="165"/>
      <c r="G175" s="165"/>
      <c r="H175" s="165"/>
      <c r="I175" s="166" t="s">
        <v>2726</v>
      </c>
      <c r="J175" s="166" t="s">
        <v>3249</v>
      </c>
      <c r="K175" s="166" t="s">
        <v>3104</v>
      </c>
      <c r="L175" s="167" t="s">
        <v>2544</v>
      </c>
      <c r="M175" s="166" t="s">
        <v>3137</v>
      </c>
      <c r="N175" s="168">
        <v>0</v>
      </c>
      <c r="O175" s="168"/>
      <c r="P175" s="168"/>
      <c r="Q175" s="166"/>
      <c r="R175" s="166"/>
      <c r="S175" s="166"/>
      <c r="T175" s="166"/>
      <c r="U175" s="174"/>
      <c r="V175" s="166"/>
      <c r="W175" s="166"/>
      <c r="X175" s="166" t="str">
        <f t="shared" si="7"/>
        <v/>
      </c>
      <c r="Y175" s="170"/>
    </row>
    <row r="176" spans="1:27" ht="15" thickBot="1" x14ac:dyDescent="0.4">
      <c r="A176" s="101"/>
      <c r="B176" s="171" t="s">
        <v>3000</v>
      </c>
      <c r="C176" s="114">
        <v>16000</v>
      </c>
      <c r="D176" s="114"/>
      <c r="E176" s="114"/>
      <c r="F176" s="114"/>
      <c r="G176" s="114"/>
      <c r="H176" s="114"/>
      <c r="I176" s="30" t="s">
        <v>2722</v>
      </c>
      <c r="J176" s="30" t="s">
        <v>3251</v>
      </c>
      <c r="K176" s="30" t="s">
        <v>3096</v>
      </c>
      <c r="L176" s="156" t="s">
        <v>2544</v>
      </c>
      <c r="M176" s="30" t="s">
        <v>3142</v>
      </c>
      <c r="N176" s="140">
        <v>16000</v>
      </c>
      <c r="O176" s="140" t="s">
        <v>3385</v>
      </c>
      <c r="P176" s="140"/>
      <c r="Q176" s="30" t="s">
        <v>3153</v>
      </c>
      <c r="R176" s="30" t="s">
        <v>3255</v>
      </c>
      <c r="S176" s="30" t="s">
        <v>3253</v>
      </c>
      <c r="T176" s="30" t="s">
        <v>3257</v>
      </c>
      <c r="U176" s="157" t="s">
        <v>3328</v>
      </c>
      <c r="V176" s="30"/>
      <c r="W176" s="30"/>
      <c r="X176" s="30" t="str">
        <f t="shared" si="7"/>
        <v xml:space="preserve"> Disciplinary Hearings Expenses_NC066_2017/2018_O_EXP_078</v>
      </c>
      <c r="Y176" s="172" t="s">
        <v>3245</v>
      </c>
    </row>
    <row r="177" spans="1:26" ht="15" thickBot="1" x14ac:dyDescent="0.4">
      <c r="A177" s="101"/>
      <c r="B177" s="154" t="s">
        <v>2853</v>
      </c>
      <c r="C177" s="208">
        <v>400000</v>
      </c>
      <c r="D177" s="179"/>
      <c r="E177" s="179"/>
      <c r="F177" s="179"/>
      <c r="G177" s="179"/>
      <c r="H177" s="179"/>
      <c r="I177" s="180" t="s">
        <v>2722</v>
      </c>
      <c r="J177" s="180" t="s">
        <v>3252</v>
      </c>
      <c r="K177" s="180" t="s">
        <v>3084</v>
      </c>
      <c r="L177" s="181" t="s">
        <v>2544</v>
      </c>
      <c r="M177" s="180" t="s">
        <v>2712</v>
      </c>
      <c r="N177" s="184">
        <v>400000</v>
      </c>
      <c r="O177" s="184" t="s">
        <v>3185</v>
      </c>
      <c r="P177" s="184" t="s">
        <v>0</v>
      </c>
      <c r="Q177" s="180" t="s">
        <v>3153</v>
      </c>
      <c r="R177" s="180" t="s">
        <v>3255</v>
      </c>
      <c r="S177" s="180" t="s">
        <v>3253</v>
      </c>
      <c r="T177" s="180" t="s">
        <v>3257</v>
      </c>
      <c r="U177" s="182" t="s">
        <v>3329</v>
      </c>
      <c r="V177" s="180"/>
      <c r="W177" s="180"/>
      <c r="X177" s="180" t="str">
        <f t="shared" si="7"/>
        <v>Legal Fees_NC066_2017/2018_O_EXP_079</v>
      </c>
      <c r="Y177" s="183" t="s">
        <v>3245</v>
      </c>
    </row>
    <row r="178" spans="1:26" x14ac:dyDescent="0.35">
      <c r="A178" s="101"/>
      <c r="B178" s="158" t="s">
        <v>2879</v>
      </c>
      <c r="C178" s="159">
        <v>20000</v>
      </c>
      <c r="D178" s="159"/>
      <c r="E178" s="159"/>
      <c r="F178" s="159"/>
      <c r="G178" s="159"/>
      <c r="H178" s="159"/>
      <c r="I178" s="160" t="s">
        <v>2722</v>
      </c>
      <c r="J178" s="160" t="s">
        <v>3252</v>
      </c>
      <c r="K178" s="160" t="s">
        <v>3088</v>
      </c>
      <c r="L178" s="161" t="s">
        <v>2544</v>
      </c>
      <c r="M178" s="160" t="s">
        <v>3142</v>
      </c>
      <c r="N178" s="176">
        <v>20000</v>
      </c>
      <c r="O178" s="176" t="s">
        <v>3181</v>
      </c>
      <c r="P178" s="176"/>
      <c r="Q178" s="160" t="s">
        <v>3153</v>
      </c>
      <c r="R178" s="160" t="s">
        <v>3255</v>
      </c>
      <c r="S178" s="160" t="s">
        <v>3253</v>
      </c>
      <c r="T178" s="160" t="s">
        <v>3257</v>
      </c>
      <c r="U178" s="162" t="s">
        <v>3330</v>
      </c>
      <c r="V178" s="160"/>
      <c r="W178" s="160"/>
      <c r="X178" s="160" t="str">
        <f t="shared" si="7"/>
        <v>Donations_NC066_2017/2018_O_EXP_080</v>
      </c>
      <c r="Y178" s="163" t="s">
        <v>3245</v>
      </c>
    </row>
    <row r="179" spans="1:26" x14ac:dyDescent="0.35">
      <c r="A179" s="101"/>
      <c r="B179" s="171" t="s">
        <v>2881</v>
      </c>
      <c r="C179" s="114">
        <v>45000</v>
      </c>
      <c r="D179" s="114"/>
      <c r="E179" s="114"/>
      <c r="F179" s="114"/>
      <c r="G179" s="114"/>
      <c r="H179" s="114"/>
      <c r="I179" s="30" t="s">
        <v>2722</v>
      </c>
      <c r="J179" s="30" t="s">
        <v>3252</v>
      </c>
      <c r="K179" s="30" t="s">
        <v>3088</v>
      </c>
      <c r="L179" s="156" t="s">
        <v>2544</v>
      </c>
      <c r="M179" s="30" t="s">
        <v>2712</v>
      </c>
      <c r="N179" s="114">
        <v>45000</v>
      </c>
      <c r="O179" s="114"/>
      <c r="P179" s="114"/>
      <c r="Q179" s="30"/>
      <c r="R179" s="30"/>
      <c r="S179" s="30"/>
      <c r="T179" s="30"/>
      <c r="U179" s="173"/>
      <c r="V179" s="30"/>
      <c r="W179" s="30"/>
      <c r="X179" s="30" t="str">
        <f t="shared" si="7"/>
        <v/>
      </c>
      <c r="Y179" s="172"/>
    </row>
    <row r="180" spans="1:26" x14ac:dyDescent="0.35">
      <c r="A180" s="101"/>
      <c r="B180" s="171" t="s">
        <v>2882</v>
      </c>
      <c r="C180" s="114">
        <v>24000</v>
      </c>
      <c r="D180" s="114"/>
      <c r="E180" s="114"/>
      <c r="F180" s="114"/>
      <c r="G180" s="114"/>
      <c r="H180" s="114"/>
      <c r="I180" s="30" t="s">
        <v>2722</v>
      </c>
      <c r="J180" s="30" t="s">
        <v>3252</v>
      </c>
      <c r="K180" s="30" t="s">
        <v>3088</v>
      </c>
      <c r="L180" s="156" t="s">
        <v>2544</v>
      </c>
      <c r="M180" s="30" t="s">
        <v>2712</v>
      </c>
      <c r="N180" s="114">
        <v>24000</v>
      </c>
      <c r="O180" s="114"/>
      <c r="P180" s="114"/>
      <c r="Q180" s="30"/>
      <c r="R180" s="30"/>
      <c r="S180" s="30"/>
      <c r="T180" s="30"/>
      <c r="U180" s="173"/>
      <c r="V180" s="30"/>
      <c r="W180" s="30"/>
      <c r="X180" s="30" t="str">
        <f t="shared" si="7"/>
        <v/>
      </c>
      <c r="Y180" s="172"/>
    </row>
    <row r="181" spans="1:26" x14ac:dyDescent="0.35">
      <c r="A181" s="101"/>
      <c r="B181" s="171" t="s">
        <v>2880</v>
      </c>
      <c r="C181" s="114">
        <v>20000</v>
      </c>
      <c r="D181" s="114"/>
      <c r="E181" s="114"/>
      <c r="F181" s="114"/>
      <c r="G181" s="114"/>
      <c r="H181" s="114"/>
      <c r="I181" s="30" t="s">
        <v>2722</v>
      </c>
      <c r="J181" s="30" t="s">
        <v>3252</v>
      </c>
      <c r="K181" s="30" t="s">
        <v>3088</v>
      </c>
      <c r="L181" s="156" t="s">
        <v>2544</v>
      </c>
      <c r="M181" s="30" t="s">
        <v>2712</v>
      </c>
      <c r="N181" s="114">
        <v>20000</v>
      </c>
      <c r="O181" s="114"/>
      <c r="P181" s="114"/>
      <c r="Q181" s="30"/>
      <c r="R181" s="30"/>
      <c r="S181" s="30"/>
      <c r="T181" s="30"/>
      <c r="U181" s="173"/>
      <c r="V181" s="30"/>
      <c r="W181" s="30"/>
      <c r="X181" s="30" t="str">
        <f t="shared" si="7"/>
        <v/>
      </c>
      <c r="Y181" s="172"/>
    </row>
    <row r="182" spans="1:26" x14ac:dyDescent="0.35">
      <c r="A182" s="101"/>
      <c r="B182" s="171" t="s">
        <v>2883</v>
      </c>
      <c r="C182" s="114">
        <v>10000</v>
      </c>
      <c r="D182" s="114"/>
      <c r="E182" s="114"/>
      <c r="F182" s="114"/>
      <c r="G182" s="114"/>
      <c r="H182" s="114"/>
      <c r="I182" s="30" t="s">
        <v>2722</v>
      </c>
      <c r="J182" s="30" t="s">
        <v>3252</v>
      </c>
      <c r="K182" s="30" t="s">
        <v>3088</v>
      </c>
      <c r="L182" s="156" t="s">
        <v>2544</v>
      </c>
      <c r="M182" s="30" t="s">
        <v>2712</v>
      </c>
      <c r="N182" s="114">
        <v>10000</v>
      </c>
      <c r="O182" s="114"/>
      <c r="P182" s="114"/>
      <c r="Q182" s="30"/>
      <c r="R182" s="30"/>
      <c r="S182" s="30"/>
      <c r="T182" s="30"/>
      <c r="U182" s="173"/>
      <c r="V182" s="30"/>
      <c r="W182" s="30"/>
      <c r="X182" s="30" t="str">
        <f t="shared" si="7"/>
        <v/>
      </c>
      <c r="Y182" s="172"/>
    </row>
    <row r="183" spans="1:26" ht="15" thickBot="1" x14ac:dyDescent="0.4">
      <c r="A183" s="101"/>
      <c r="B183" s="164" t="s">
        <v>2878</v>
      </c>
      <c r="C183" s="165">
        <v>20000</v>
      </c>
      <c r="D183" s="165"/>
      <c r="E183" s="165"/>
      <c r="F183" s="165"/>
      <c r="G183" s="165"/>
      <c r="H183" s="165"/>
      <c r="I183" s="166" t="s">
        <v>2722</v>
      </c>
      <c r="J183" s="166" t="s">
        <v>3252</v>
      </c>
      <c r="K183" s="166" t="s">
        <v>3088</v>
      </c>
      <c r="L183" s="167" t="s">
        <v>2544</v>
      </c>
      <c r="M183" s="166" t="s">
        <v>2712</v>
      </c>
      <c r="N183" s="165">
        <v>20000</v>
      </c>
      <c r="O183" s="165"/>
      <c r="P183" s="165"/>
      <c r="Q183" s="166"/>
      <c r="R183" s="166"/>
      <c r="S183" s="166"/>
      <c r="T183" s="166"/>
      <c r="U183" s="174"/>
      <c r="V183" s="166"/>
      <c r="W183" s="166"/>
      <c r="X183" s="166" t="str">
        <f t="shared" si="7"/>
        <v/>
      </c>
      <c r="Y183" s="170"/>
    </row>
    <row r="184" spans="1:26" x14ac:dyDescent="0.35">
      <c r="A184" s="101" t="s">
        <v>306</v>
      </c>
      <c r="B184" s="171" t="s">
        <v>2922</v>
      </c>
      <c r="C184" s="114">
        <v>92400</v>
      </c>
      <c r="D184" s="114"/>
      <c r="E184" s="114"/>
      <c r="F184" s="114"/>
      <c r="G184" s="114"/>
      <c r="H184" s="114"/>
      <c r="I184" s="30" t="s">
        <v>2721</v>
      </c>
      <c r="J184" s="156" t="s">
        <v>3251</v>
      </c>
      <c r="K184" s="30" t="s">
        <v>3082</v>
      </c>
      <c r="L184" s="156" t="s">
        <v>2544</v>
      </c>
      <c r="M184" s="30" t="s">
        <v>2712</v>
      </c>
      <c r="N184" s="140">
        <v>17200</v>
      </c>
      <c r="O184" s="140" t="s">
        <v>3180</v>
      </c>
      <c r="P184" s="140"/>
      <c r="Q184" s="30" t="s">
        <v>3153</v>
      </c>
      <c r="R184" s="30" t="s">
        <v>3255</v>
      </c>
      <c r="S184" s="30" t="s">
        <v>3253</v>
      </c>
      <c r="T184" s="30" t="s">
        <v>3257</v>
      </c>
      <c r="U184" s="157" t="s">
        <v>3331</v>
      </c>
      <c r="V184" s="30"/>
      <c r="W184" s="30"/>
      <c r="X184" s="30" t="str">
        <f t="shared" si="7"/>
        <v>Employee Related Cost_NC066_2017/2018_O_EXP_081</v>
      </c>
      <c r="Y184" s="172" t="s">
        <v>3245</v>
      </c>
    </row>
    <row r="185" spans="1:26" x14ac:dyDescent="0.35">
      <c r="A185" s="101"/>
      <c r="B185" s="171" t="s">
        <v>2922</v>
      </c>
      <c r="C185" s="114"/>
      <c r="D185" s="114"/>
      <c r="E185" s="114"/>
      <c r="F185" s="114"/>
      <c r="G185" s="114"/>
      <c r="H185" s="114"/>
      <c r="I185" s="30" t="s">
        <v>2721</v>
      </c>
      <c r="J185" s="156" t="s">
        <v>3251</v>
      </c>
      <c r="K185" s="30" t="s">
        <v>3082</v>
      </c>
      <c r="L185" s="156" t="s">
        <v>2544</v>
      </c>
      <c r="M185" s="30" t="s">
        <v>3137</v>
      </c>
      <c r="N185" s="114">
        <f>92400-17200</f>
        <v>75200</v>
      </c>
      <c r="O185" s="114"/>
      <c r="P185" s="114"/>
      <c r="Q185" s="30"/>
      <c r="R185" s="30"/>
      <c r="S185" s="30"/>
      <c r="T185" s="30"/>
      <c r="U185" s="173"/>
      <c r="V185" s="30"/>
      <c r="W185" s="30"/>
      <c r="X185" s="30" t="str">
        <f t="shared" si="7"/>
        <v/>
      </c>
      <c r="Y185" s="172"/>
    </row>
    <row r="186" spans="1:26" x14ac:dyDescent="0.35">
      <c r="A186" s="101"/>
      <c r="B186" s="171" t="s">
        <v>2901</v>
      </c>
      <c r="C186" s="114">
        <v>8200</v>
      </c>
      <c r="D186" s="114"/>
      <c r="E186" s="114"/>
      <c r="F186" s="114"/>
      <c r="G186" s="114"/>
      <c r="H186" s="114"/>
      <c r="I186" s="30" t="s">
        <v>2721</v>
      </c>
      <c r="J186" s="156" t="s">
        <v>3251</v>
      </c>
      <c r="K186" s="30" t="s">
        <v>3082</v>
      </c>
      <c r="L186" s="156" t="s">
        <v>2544</v>
      </c>
      <c r="M186" s="30" t="s">
        <v>3140</v>
      </c>
      <c r="N186" s="114">
        <v>8200</v>
      </c>
      <c r="O186" s="114"/>
      <c r="P186" s="114"/>
      <c r="Q186" s="30"/>
      <c r="R186" s="30"/>
      <c r="S186" s="30"/>
      <c r="T186" s="30"/>
      <c r="U186" s="173"/>
      <c r="V186" s="30"/>
      <c r="W186" s="30"/>
      <c r="X186" s="30" t="str">
        <f t="shared" si="7"/>
        <v/>
      </c>
      <c r="Y186" s="172"/>
    </row>
    <row r="187" spans="1:26" x14ac:dyDescent="0.35">
      <c r="A187" s="101" t="s">
        <v>253</v>
      </c>
      <c r="B187" s="171" t="s">
        <v>2902</v>
      </c>
      <c r="C187" s="209">
        <v>1328800</v>
      </c>
      <c r="D187" s="114"/>
      <c r="E187" s="114"/>
      <c r="F187" s="114"/>
      <c r="G187" s="114"/>
      <c r="H187" s="114"/>
      <c r="I187" s="30" t="s">
        <v>2721</v>
      </c>
      <c r="J187" s="156" t="s">
        <v>3251</v>
      </c>
      <c r="K187" s="30" t="s">
        <v>3082</v>
      </c>
      <c r="L187" s="156" t="s">
        <v>2544</v>
      </c>
      <c r="M187" s="30" t="s">
        <v>3140</v>
      </c>
      <c r="N187" s="114">
        <v>1328800</v>
      </c>
      <c r="O187" s="114"/>
      <c r="P187" s="114"/>
      <c r="Q187" s="30"/>
      <c r="R187" s="30"/>
      <c r="S187" s="30"/>
      <c r="T187" s="30"/>
      <c r="U187" s="173"/>
      <c r="V187" s="30"/>
      <c r="W187" s="30"/>
      <c r="X187" s="30" t="str">
        <f t="shared" ref="X187:X250" si="8">CONCATENATE(O187,Q187,R187,S187,T187,U187)</f>
        <v/>
      </c>
      <c r="Y187" s="172"/>
    </row>
    <row r="188" spans="1:26" x14ac:dyDescent="0.35">
      <c r="A188" s="101"/>
      <c r="B188" s="171" t="s">
        <v>2903</v>
      </c>
      <c r="C188" s="114">
        <v>41400</v>
      </c>
      <c r="D188" s="114"/>
      <c r="E188" s="114"/>
      <c r="F188" s="114"/>
      <c r="G188" s="114"/>
      <c r="H188" s="114"/>
      <c r="I188" s="30" t="s">
        <v>2721</v>
      </c>
      <c r="J188" s="156" t="s">
        <v>3251</v>
      </c>
      <c r="K188" s="30" t="s">
        <v>3082</v>
      </c>
      <c r="L188" s="156" t="s">
        <v>2544</v>
      </c>
      <c r="M188" s="30" t="s">
        <v>3140</v>
      </c>
      <c r="N188" s="114">
        <v>41400</v>
      </c>
      <c r="O188" s="114"/>
      <c r="P188" s="114"/>
      <c r="Q188" s="30"/>
      <c r="R188" s="30"/>
      <c r="S188" s="30"/>
      <c r="T188" s="30"/>
      <c r="U188" s="173"/>
      <c r="V188" s="30"/>
      <c r="W188" s="30"/>
      <c r="X188" s="30" t="str">
        <f t="shared" si="8"/>
        <v/>
      </c>
      <c r="Y188" s="172"/>
    </row>
    <row r="189" spans="1:26" x14ac:dyDescent="0.35">
      <c r="A189" s="101"/>
      <c r="B189" s="171" t="s">
        <v>2900</v>
      </c>
      <c r="C189" s="114">
        <v>163200</v>
      </c>
      <c r="D189" s="114"/>
      <c r="E189" s="114"/>
      <c r="F189" s="114"/>
      <c r="G189" s="114"/>
      <c r="H189" s="114"/>
      <c r="I189" s="30" t="s">
        <v>2721</v>
      </c>
      <c r="J189" s="156" t="s">
        <v>3251</v>
      </c>
      <c r="K189" s="30" t="s">
        <v>3082</v>
      </c>
      <c r="L189" s="156" t="s">
        <v>2544</v>
      </c>
      <c r="M189" s="30" t="s">
        <v>3144</v>
      </c>
      <c r="N189" s="114">
        <v>163200</v>
      </c>
      <c r="O189" s="114"/>
      <c r="P189" s="114"/>
      <c r="Q189" s="30"/>
      <c r="R189" s="30"/>
      <c r="S189" s="30"/>
      <c r="T189" s="30"/>
      <c r="U189" s="173"/>
      <c r="V189" s="30"/>
      <c r="W189" s="30"/>
      <c r="X189" s="30" t="str">
        <f t="shared" si="8"/>
        <v/>
      </c>
      <c r="Y189" s="172"/>
    </row>
    <row r="190" spans="1:26" x14ac:dyDescent="0.35">
      <c r="A190" s="101"/>
      <c r="B190" s="171" t="s">
        <v>2984</v>
      </c>
      <c r="C190" s="114">
        <v>97200</v>
      </c>
      <c r="D190" s="114"/>
      <c r="E190" s="114"/>
      <c r="F190" s="114"/>
      <c r="G190" s="114"/>
      <c r="H190" s="114"/>
      <c r="I190" s="30" t="s">
        <v>2721</v>
      </c>
      <c r="J190" s="156" t="s">
        <v>3251</v>
      </c>
      <c r="K190" s="30" t="s">
        <v>3082</v>
      </c>
      <c r="L190" s="156" t="s">
        <v>2544</v>
      </c>
      <c r="M190" s="30" t="s">
        <v>3140</v>
      </c>
      <c r="N190" s="114">
        <v>97200</v>
      </c>
      <c r="O190" s="114"/>
      <c r="P190" s="114"/>
      <c r="Q190" s="30"/>
      <c r="R190" s="30"/>
      <c r="S190" s="30"/>
      <c r="T190" s="30"/>
      <c r="U190" s="173"/>
      <c r="V190" s="30"/>
      <c r="W190" s="30"/>
      <c r="X190" s="30" t="str">
        <f t="shared" si="8"/>
        <v/>
      </c>
      <c r="Y190" s="172"/>
    </row>
    <row r="191" spans="1:26" ht="15" thickBot="1" x14ac:dyDescent="0.4">
      <c r="A191" s="101"/>
      <c r="B191" s="171" t="s">
        <v>2904</v>
      </c>
      <c r="C191" s="114">
        <v>80000</v>
      </c>
      <c r="D191" s="114"/>
      <c r="E191" s="114"/>
      <c r="F191" s="114"/>
      <c r="G191" s="114"/>
      <c r="H191" s="114"/>
      <c r="I191" s="30" t="s">
        <v>2721</v>
      </c>
      <c r="J191" s="156" t="s">
        <v>3251</v>
      </c>
      <c r="K191" s="30" t="s">
        <v>3082</v>
      </c>
      <c r="L191" s="156" t="s">
        <v>2544</v>
      </c>
      <c r="M191" s="30" t="s">
        <v>3140</v>
      </c>
      <c r="N191" s="114">
        <v>80000</v>
      </c>
      <c r="O191" s="114"/>
      <c r="P191" s="114"/>
      <c r="Q191" s="30"/>
      <c r="R191" s="30"/>
      <c r="S191" s="30"/>
      <c r="T191" s="30"/>
      <c r="U191" s="173"/>
      <c r="V191" s="30"/>
      <c r="W191" s="30"/>
      <c r="X191" s="30" t="str">
        <f t="shared" si="8"/>
        <v/>
      </c>
      <c r="Y191" s="172"/>
    </row>
    <row r="192" spans="1:26" ht="15" thickBot="1" x14ac:dyDescent="0.4">
      <c r="A192" s="101" t="s">
        <v>846</v>
      </c>
      <c r="B192" s="171" t="s">
        <v>2905</v>
      </c>
      <c r="C192" s="209">
        <v>857600</v>
      </c>
      <c r="D192" s="114"/>
      <c r="E192" s="114"/>
      <c r="F192" s="114"/>
      <c r="G192" s="114"/>
      <c r="H192" s="114"/>
      <c r="I192" s="30" t="s">
        <v>2721</v>
      </c>
      <c r="J192" s="156" t="s">
        <v>3251</v>
      </c>
      <c r="K192" s="30" t="s">
        <v>3082</v>
      </c>
      <c r="L192" s="156" t="s">
        <v>2544</v>
      </c>
      <c r="M192" s="30" t="s">
        <v>3140</v>
      </c>
      <c r="N192" s="114">
        <v>857600</v>
      </c>
      <c r="O192" s="114"/>
      <c r="P192" s="114"/>
      <c r="Q192" s="30"/>
      <c r="R192" s="30"/>
      <c r="S192" s="30"/>
      <c r="T192" s="30"/>
      <c r="U192" s="173"/>
      <c r="V192" s="30"/>
      <c r="W192" s="30"/>
      <c r="X192" s="30" t="str">
        <f t="shared" si="8"/>
        <v/>
      </c>
      <c r="Y192" s="172"/>
      <c r="Z192" s="185"/>
    </row>
    <row r="193" spans="1:25" x14ac:dyDescent="0.35">
      <c r="A193" s="101" t="s">
        <v>665</v>
      </c>
      <c r="B193" s="171" t="s">
        <v>3039</v>
      </c>
      <c r="C193" s="209">
        <v>275000</v>
      </c>
      <c r="D193" s="114"/>
      <c r="E193" s="114"/>
      <c r="F193" s="114"/>
      <c r="G193" s="114"/>
      <c r="H193" s="114"/>
      <c r="I193" s="30" t="s">
        <v>2721</v>
      </c>
      <c r="J193" s="30" t="s">
        <v>3251</v>
      </c>
      <c r="K193" s="30" t="s">
        <v>3082</v>
      </c>
      <c r="L193" s="156" t="s">
        <v>2544</v>
      </c>
      <c r="M193" s="30" t="s">
        <v>3137</v>
      </c>
      <c r="N193" s="114">
        <v>275000</v>
      </c>
      <c r="O193" s="114"/>
      <c r="P193" s="114"/>
      <c r="Q193" s="30"/>
      <c r="R193" s="30"/>
      <c r="S193" s="30"/>
      <c r="T193" s="30"/>
      <c r="U193" s="173"/>
      <c r="V193" s="30"/>
      <c r="W193" s="30"/>
      <c r="X193" s="30" t="str">
        <f t="shared" si="8"/>
        <v/>
      </c>
      <c r="Y193" s="172"/>
    </row>
    <row r="194" spans="1:25" x14ac:dyDescent="0.35">
      <c r="A194" s="101" t="s">
        <v>75</v>
      </c>
      <c r="B194" s="171" t="s">
        <v>2906</v>
      </c>
      <c r="C194" s="209">
        <f>18127000-200000</f>
        <v>17927000</v>
      </c>
      <c r="D194" s="114"/>
      <c r="E194" s="114"/>
      <c r="F194" s="114"/>
      <c r="G194" s="114"/>
      <c r="H194" s="114"/>
      <c r="I194" s="30" t="s">
        <v>2721</v>
      </c>
      <c r="J194" s="156" t="s">
        <v>3251</v>
      </c>
      <c r="K194" s="30" t="s">
        <v>3082</v>
      </c>
      <c r="L194" s="156" t="s">
        <v>2544</v>
      </c>
      <c r="M194" s="30" t="s">
        <v>3138</v>
      </c>
      <c r="N194" s="140">
        <f>1786200</f>
        <v>1786200</v>
      </c>
      <c r="O194" s="140"/>
      <c r="P194" s="140"/>
      <c r="Q194" s="30"/>
      <c r="R194" s="30"/>
      <c r="S194" s="30"/>
      <c r="T194" s="30"/>
      <c r="U194" s="173"/>
      <c r="V194" s="30"/>
      <c r="W194" s="30"/>
      <c r="X194" s="30" t="str">
        <f t="shared" si="8"/>
        <v/>
      </c>
      <c r="Y194" s="172"/>
    </row>
    <row r="195" spans="1:25" x14ac:dyDescent="0.35">
      <c r="A195" s="101"/>
      <c r="B195" s="171" t="s">
        <v>2906</v>
      </c>
      <c r="C195" s="114"/>
      <c r="D195" s="114"/>
      <c r="E195" s="114"/>
      <c r="F195" s="114"/>
      <c r="G195" s="114"/>
      <c r="H195" s="114"/>
      <c r="I195" s="30" t="s">
        <v>2721</v>
      </c>
      <c r="J195" s="156" t="s">
        <v>3251</v>
      </c>
      <c r="K195" s="30" t="s">
        <v>3082</v>
      </c>
      <c r="L195" s="156" t="s">
        <v>2544</v>
      </c>
      <c r="M195" s="30" t="s">
        <v>3135</v>
      </c>
      <c r="N195" s="140">
        <f>1519100-200000</f>
        <v>1319100</v>
      </c>
      <c r="O195" s="140"/>
      <c r="P195" s="140"/>
      <c r="Q195" s="30"/>
      <c r="R195" s="30"/>
      <c r="S195" s="30"/>
      <c r="T195" s="30"/>
      <c r="U195" s="173"/>
      <c r="V195" s="30"/>
      <c r="W195" s="30"/>
      <c r="X195" s="30" t="str">
        <f t="shared" si="8"/>
        <v/>
      </c>
      <c r="Y195" s="172"/>
    </row>
    <row r="196" spans="1:25" x14ac:dyDescent="0.35">
      <c r="A196" s="101"/>
      <c r="B196" s="171" t="s">
        <v>2906</v>
      </c>
      <c r="C196" s="114"/>
      <c r="D196" s="114"/>
      <c r="E196" s="114"/>
      <c r="F196" s="114"/>
      <c r="G196" s="114"/>
      <c r="H196" s="114"/>
      <c r="I196" s="30" t="s">
        <v>2721</v>
      </c>
      <c r="J196" s="156" t="s">
        <v>3251</v>
      </c>
      <c r="K196" s="30" t="s">
        <v>3082</v>
      </c>
      <c r="L196" s="156" t="s">
        <v>2544</v>
      </c>
      <c r="M196" s="30" t="s">
        <v>3136</v>
      </c>
      <c r="N196" s="140">
        <v>200000</v>
      </c>
      <c r="O196" s="140"/>
      <c r="P196" s="140"/>
      <c r="Q196" s="30"/>
      <c r="R196" s="30"/>
      <c r="S196" s="30"/>
      <c r="T196" s="30"/>
      <c r="U196" s="173"/>
      <c r="V196" s="30"/>
      <c r="W196" s="30"/>
      <c r="X196" s="30" t="str">
        <f t="shared" si="8"/>
        <v/>
      </c>
      <c r="Y196" s="172"/>
    </row>
    <row r="197" spans="1:25" x14ac:dyDescent="0.35">
      <c r="A197" s="101"/>
      <c r="B197" s="171" t="s">
        <v>2906</v>
      </c>
      <c r="C197" s="114"/>
      <c r="D197" s="114"/>
      <c r="E197" s="114"/>
      <c r="F197" s="114"/>
      <c r="G197" s="114"/>
      <c r="H197" s="114"/>
      <c r="I197" s="30" t="s">
        <v>2721</v>
      </c>
      <c r="J197" s="156" t="s">
        <v>3251</v>
      </c>
      <c r="K197" s="30" t="s">
        <v>3082</v>
      </c>
      <c r="L197" s="156" t="s">
        <v>2544</v>
      </c>
      <c r="M197" s="30" t="s">
        <v>3139</v>
      </c>
      <c r="N197" s="140">
        <f>2818800</f>
        <v>2818800</v>
      </c>
      <c r="O197" s="140"/>
      <c r="P197" s="140"/>
      <c r="Q197" s="30"/>
      <c r="R197" s="30"/>
      <c r="S197" s="30"/>
      <c r="T197" s="30"/>
      <c r="U197" s="173"/>
      <c r="V197" s="30"/>
      <c r="W197" s="30"/>
      <c r="X197" s="30" t="str">
        <f t="shared" si="8"/>
        <v/>
      </c>
      <c r="Y197" s="172"/>
    </row>
    <row r="198" spans="1:25" x14ac:dyDescent="0.35">
      <c r="A198" s="101"/>
      <c r="B198" s="171" t="s">
        <v>2906</v>
      </c>
      <c r="C198" s="114"/>
      <c r="D198" s="114"/>
      <c r="E198" s="114"/>
      <c r="F198" s="114"/>
      <c r="G198" s="114"/>
      <c r="H198" s="114"/>
      <c r="I198" s="30" t="s">
        <v>2721</v>
      </c>
      <c r="J198" s="156" t="s">
        <v>3251</v>
      </c>
      <c r="K198" s="30" t="s">
        <v>3082</v>
      </c>
      <c r="L198" s="156" t="s">
        <v>2544</v>
      </c>
      <c r="M198" s="30" t="s">
        <v>3141</v>
      </c>
      <c r="N198" s="140">
        <v>3486000</v>
      </c>
      <c r="O198" s="140"/>
      <c r="P198" s="140"/>
      <c r="Q198" s="30"/>
      <c r="R198" s="30"/>
      <c r="S198" s="30"/>
      <c r="T198" s="30"/>
      <c r="U198" s="173"/>
      <c r="V198" s="30"/>
      <c r="W198" s="30"/>
      <c r="X198" s="30" t="str">
        <f t="shared" si="8"/>
        <v/>
      </c>
      <c r="Y198" s="172"/>
    </row>
    <row r="199" spans="1:25" x14ac:dyDescent="0.35">
      <c r="A199" s="101"/>
      <c r="B199" s="171" t="s">
        <v>2906</v>
      </c>
      <c r="C199" s="114"/>
      <c r="D199" s="114"/>
      <c r="E199" s="114"/>
      <c r="F199" s="114"/>
      <c r="G199" s="114"/>
      <c r="H199" s="114"/>
      <c r="I199" s="30" t="s">
        <v>2721</v>
      </c>
      <c r="J199" s="156" t="s">
        <v>3251</v>
      </c>
      <c r="K199" s="30" t="s">
        <v>3082</v>
      </c>
      <c r="L199" s="156" t="s">
        <v>2544</v>
      </c>
      <c r="M199" s="30" t="s">
        <v>3137</v>
      </c>
      <c r="N199" s="140">
        <f>8316900</f>
        <v>8316900</v>
      </c>
      <c r="O199" s="140"/>
      <c r="P199" s="140"/>
      <c r="Q199" s="30"/>
      <c r="R199" s="30"/>
      <c r="S199" s="30"/>
      <c r="T199" s="30"/>
      <c r="U199" s="173"/>
      <c r="V199" s="30"/>
      <c r="W199" s="30"/>
      <c r="X199" s="30" t="str">
        <f t="shared" si="8"/>
        <v/>
      </c>
      <c r="Y199" s="172"/>
    </row>
    <row r="200" spans="1:25" x14ac:dyDescent="0.35">
      <c r="A200" s="101" t="s">
        <v>505</v>
      </c>
      <c r="B200" s="171" t="s">
        <v>3040</v>
      </c>
      <c r="C200" s="114">
        <v>0</v>
      </c>
      <c r="D200" s="114"/>
      <c r="E200" s="114"/>
      <c r="F200" s="114"/>
      <c r="G200" s="114"/>
      <c r="H200" s="114"/>
      <c r="I200" s="30" t="s">
        <v>2721</v>
      </c>
      <c r="J200" s="156" t="s">
        <v>3251</v>
      </c>
      <c r="K200" s="30" t="s">
        <v>3082</v>
      </c>
      <c r="L200" s="156" t="s">
        <v>2544</v>
      </c>
      <c r="M200" s="30" t="s">
        <v>3135</v>
      </c>
      <c r="N200" s="140">
        <v>0</v>
      </c>
      <c r="O200" s="140"/>
      <c r="P200" s="140"/>
      <c r="Q200" s="30"/>
      <c r="R200" s="30"/>
      <c r="S200" s="30"/>
      <c r="T200" s="30"/>
      <c r="U200" s="173"/>
      <c r="V200" s="30"/>
      <c r="W200" s="30"/>
      <c r="X200" s="30" t="str">
        <f t="shared" si="8"/>
        <v/>
      </c>
      <c r="Y200" s="172"/>
    </row>
    <row r="201" spans="1:25" x14ac:dyDescent="0.35">
      <c r="A201" s="101"/>
      <c r="B201" s="171" t="s">
        <v>2907</v>
      </c>
      <c r="C201" s="114">
        <v>64500</v>
      </c>
      <c r="D201" s="114"/>
      <c r="E201" s="114"/>
      <c r="F201" s="114"/>
      <c r="G201" s="114"/>
      <c r="H201" s="114"/>
      <c r="I201" s="30" t="s">
        <v>2721</v>
      </c>
      <c r="J201" s="156" t="s">
        <v>3251</v>
      </c>
      <c r="K201" s="30" t="s">
        <v>3082</v>
      </c>
      <c r="L201" s="156" t="s">
        <v>2544</v>
      </c>
      <c r="M201" s="30" t="s">
        <v>3143</v>
      </c>
      <c r="N201" s="140">
        <v>64500</v>
      </c>
      <c r="O201" s="140"/>
      <c r="P201" s="140"/>
      <c r="Q201" s="30"/>
      <c r="R201" s="30"/>
      <c r="S201" s="30"/>
      <c r="T201" s="30"/>
      <c r="U201" s="173"/>
      <c r="V201" s="30"/>
      <c r="W201" s="30"/>
      <c r="X201" s="30" t="str">
        <f t="shared" si="8"/>
        <v/>
      </c>
      <c r="Y201" s="172"/>
    </row>
    <row r="202" spans="1:25" x14ac:dyDescent="0.35">
      <c r="A202" s="101"/>
      <c r="B202" s="171" t="s">
        <v>2921</v>
      </c>
      <c r="C202" s="114">
        <v>69200</v>
      </c>
      <c r="D202" s="114"/>
      <c r="E202" s="114"/>
      <c r="F202" s="114"/>
      <c r="G202" s="114"/>
      <c r="H202" s="114"/>
      <c r="I202" s="30" t="s">
        <v>2721</v>
      </c>
      <c r="J202" s="156" t="s">
        <v>3251</v>
      </c>
      <c r="K202" s="30" t="s">
        <v>3082</v>
      </c>
      <c r="L202" s="156" t="s">
        <v>2544</v>
      </c>
      <c r="M202" s="30" t="s">
        <v>3143</v>
      </c>
      <c r="N202" s="140">
        <v>69200</v>
      </c>
      <c r="O202" s="140"/>
      <c r="P202" s="140"/>
      <c r="Q202" s="30"/>
      <c r="R202" s="30"/>
      <c r="S202" s="30"/>
      <c r="T202" s="30"/>
      <c r="U202" s="173"/>
      <c r="V202" s="30"/>
      <c r="W202" s="30"/>
      <c r="X202" s="30" t="str">
        <f t="shared" si="8"/>
        <v/>
      </c>
      <c r="Y202" s="172"/>
    </row>
    <row r="203" spans="1:25" x14ac:dyDescent="0.35">
      <c r="A203" s="101"/>
      <c r="B203" s="171" t="s">
        <v>2908</v>
      </c>
      <c r="C203" s="114">
        <v>0</v>
      </c>
      <c r="D203" s="114"/>
      <c r="E203" s="114"/>
      <c r="F203" s="114"/>
      <c r="G203" s="114"/>
      <c r="H203" s="114"/>
      <c r="I203" s="30" t="s">
        <v>2721</v>
      </c>
      <c r="J203" s="156" t="s">
        <v>3251</v>
      </c>
      <c r="K203" s="30" t="s">
        <v>3082</v>
      </c>
      <c r="L203" s="156" t="s">
        <v>2544</v>
      </c>
      <c r="M203" s="30" t="s">
        <v>3137</v>
      </c>
      <c r="N203" s="140">
        <v>0</v>
      </c>
      <c r="O203" s="140"/>
      <c r="P203" s="140"/>
      <c r="Q203" s="30"/>
      <c r="R203" s="30"/>
      <c r="S203" s="30"/>
      <c r="T203" s="30"/>
      <c r="U203" s="173"/>
      <c r="V203" s="30"/>
      <c r="W203" s="30"/>
      <c r="X203" s="30" t="str">
        <f t="shared" si="8"/>
        <v/>
      </c>
      <c r="Y203" s="172"/>
    </row>
    <row r="204" spans="1:25" x14ac:dyDescent="0.35">
      <c r="A204" s="101"/>
      <c r="B204" s="171" t="s">
        <v>2909</v>
      </c>
      <c r="C204" s="114">
        <v>0</v>
      </c>
      <c r="D204" s="114"/>
      <c r="E204" s="114"/>
      <c r="F204" s="114"/>
      <c r="G204" s="114"/>
      <c r="H204" s="114"/>
      <c r="I204" s="30" t="s">
        <v>2721</v>
      </c>
      <c r="J204" s="156" t="s">
        <v>3251</v>
      </c>
      <c r="K204" s="30" t="s">
        <v>3082</v>
      </c>
      <c r="L204" s="156" t="s">
        <v>2544</v>
      </c>
      <c r="M204" s="30" t="s">
        <v>3137</v>
      </c>
      <c r="N204" s="140">
        <v>0</v>
      </c>
      <c r="O204" s="140"/>
      <c r="P204" s="140"/>
      <c r="Q204" s="30"/>
      <c r="R204" s="30"/>
      <c r="S204" s="30"/>
      <c r="T204" s="30"/>
      <c r="U204" s="173"/>
      <c r="V204" s="30"/>
      <c r="W204" s="30"/>
      <c r="X204" s="30" t="str">
        <f t="shared" si="8"/>
        <v/>
      </c>
      <c r="Y204" s="172"/>
    </row>
    <row r="205" spans="1:25" x14ac:dyDescent="0.35">
      <c r="A205" s="101"/>
      <c r="B205" s="171" t="s">
        <v>2920</v>
      </c>
      <c r="C205" s="209">
        <v>430700</v>
      </c>
      <c r="D205" s="114"/>
      <c r="E205" s="114"/>
      <c r="F205" s="114"/>
      <c r="G205" s="114"/>
      <c r="H205" s="114"/>
      <c r="I205" s="30" t="s">
        <v>2721</v>
      </c>
      <c r="J205" s="156" t="s">
        <v>3251</v>
      </c>
      <c r="K205" s="30" t="s">
        <v>3082</v>
      </c>
      <c r="L205" s="156" t="s">
        <v>2544</v>
      </c>
      <c r="M205" s="30" t="s">
        <v>3137</v>
      </c>
      <c r="N205" s="140">
        <v>430700</v>
      </c>
      <c r="O205" s="140"/>
      <c r="P205" s="140"/>
      <c r="Q205" s="30"/>
      <c r="R205" s="30"/>
      <c r="S205" s="30"/>
      <c r="T205" s="30"/>
      <c r="U205" s="173"/>
      <c r="V205" s="30"/>
      <c r="W205" s="30"/>
      <c r="X205" s="30" t="str">
        <f t="shared" si="8"/>
        <v/>
      </c>
      <c r="Y205" s="172"/>
    </row>
    <row r="206" spans="1:25" x14ac:dyDescent="0.35">
      <c r="A206" s="101" t="s">
        <v>233</v>
      </c>
      <c r="B206" s="171" t="s">
        <v>2910</v>
      </c>
      <c r="C206" s="114">
        <v>117600</v>
      </c>
      <c r="D206" s="114"/>
      <c r="E206" s="114"/>
      <c r="F206" s="114"/>
      <c r="G206" s="114"/>
      <c r="H206" s="114"/>
      <c r="I206" s="30" t="s">
        <v>2721</v>
      </c>
      <c r="J206" s="156" t="s">
        <v>3251</v>
      </c>
      <c r="K206" s="30" t="s">
        <v>3082</v>
      </c>
      <c r="L206" s="156" t="s">
        <v>2544</v>
      </c>
      <c r="M206" s="30" t="s">
        <v>3143</v>
      </c>
      <c r="N206" s="140">
        <v>117600</v>
      </c>
      <c r="O206" s="140"/>
      <c r="P206" s="140"/>
      <c r="Q206" s="30"/>
      <c r="R206" s="30"/>
      <c r="S206" s="30"/>
      <c r="T206" s="30"/>
      <c r="U206" s="173"/>
      <c r="V206" s="30"/>
      <c r="W206" s="30"/>
      <c r="X206" s="30" t="str">
        <f t="shared" si="8"/>
        <v/>
      </c>
      <c r="Y206" s="172"/>
    </row>
    <row r="207" spans="1:25" x14ac:dyDescent="0.35">
      <c r="A207" s="101"/>
      <c r="B207" s="171" t="s">
        <v>3059</v>
      </c>
      <c r="C207" s="114">
        <v>90000</v>
      </c>
      <c r="D207" s="114"/>
      <c r="E207" s="114"/>
      <c r="F207" s="114"/>
      <c r="G207" s="114"/>
      <c r="H207" s="114"/>
      <c r="I207" s="30" t="s">
        <v>2721</v>
      </c>
      <c r="J207" s="156" t="s">
        <v>3251</v>
      </c>
      <c r="K207" s="30" t="s">
        <v>3082</v>
      </c>
      <c r="L207" s="156" t="s">
        <v>2544</v>
      </c>
      <c r="M207" s="30" t="s">
        <v>3144</v>
      </c>
      <c r="N207" s="140">
        <v>90000</v>
      </c>
      <c r="O207" s="140"/>
      <c r="P207" s="140"/>
      <c r="Q207" s="30"/>
      <c r="R207" s="30"/>
      <c r="S207" s="30"/>
      <c r="T207" s="30"/>
      <c r="U207" s="173"/>
      <c r="V207" s="30"/>
      <c r="W207" s="30"/>
      <c r="X207" s="30" t="str">
        <f t="shared" si="8"/>
        <v/>
      </c>
      <c r="Y207" s="172"/>
    </row>
    <row r="208" spans="1:25" x14ac:dyDescent="0.35">
      <c r="A208" s="101"/>
      <c r="B208" s="171" t="s">
        <v>2855</v>
      </c>
      <c r="C208" s="114">
        <v>30000</v>
      </c>
      <c r="D208" s="114"/>
      <c r="E208" s="114"/>
      <c r="F208" s="114"/>
      <c r="G208" s="114"/>
      <c r="H208" s="114"/>
      <c r="I208" s="30" t="s">
        <v>2721</v>
      </c>
      <c r="J208" s="156" t="s">
        <v>3251</v>
      </c>
      <c r="K208" s="30" t="s">
        <v>3082</v>
      </c>
      <c r="L208" s="156" t="s">
        <v>2544</v>
      </c>
      <c r="M208" s="30" t="s">
        <v>3143</v>
      </c>
      <c r="N208" s="140">
        <v>29500</v>
      </c>
      <c r="O208" s="140"/>
      <c r="P208" s="140"/>
      <c r="Q208" s="30"/>
      <c r="R208" s="30"/>
      <c r="S208" s="30"/>
      <c r="T208" s="30"/>
      <c r="U208" s="173"/>
      <c r="V208" s="30"/>
      <c r="W208" s="30"/>
      <c r="X208" s="30" t="str">
        <f t="shared" si="8"/>
        <v/>
      </c>
      <c r="Y208" s="172"/>
    </row>
    <row r="209" spans="1:25" x14ac:dyDescent="0.35">
      <c r="A209" s="101"/>
      <c r="B209" s="171" t="s">
        <v>2855</v>
      </c>
      <c r="C209" s="114"/>
      <c r="D209" s="114"/>
      <c r="E209" s="114"/>
      <c r="F209" s="114"/>
      <c r="G209" s="114"/>
      <c r="H209" s="114"/>
      <c r="I209" s="30" t="s">
        <v>2721</v>
      </c>
      <c r="J209" s="156" t="s">
        <v>3251</v>
      </c>
      <c r="K209" s="30" t="s">
        <v>3082</v>
      </c>
      <c r="L209" s="156" t="s">
        <v>2544</v>
      </c>
      <c r="M209" s="30" t="s">
        <v>3137</v>
      </c>
      <c r="N209" s="140">
        <v>500</v>
      </c>
      <c r="O209" s="140"/>
      <c r="P209" s="140"/>
      <c r="Q209" s="30"/>
      <c r="R209" s="30"/>
      <c r="S209" s="30"/>
      <c r="T209" s="30"/>
      <c r="U209" s="173"/>
      <c r="V209" s="30"/>
      <c r="W209" s="30"/>
      <c r="X209" s="30" t="str">
        <f t="shared" si="8"/>
        <v/>
      </c>
      <c r="Y209" s="172"/>
    </row>
    <row r="210" spans="1:25" x14ac:dyDescent="0.35">
      <c r="A210" s="101" t="s">
        <v>364</v>
      </c>
      <c r="B210" s="171" t="s">
        <v>2852</v>
      </c>
      <c r="C210" s="114">
        <v>0</v>
      </c>
      <c r="D210" s="114"/>
      <c r="E210" s="114"/>
      <c r="F210" s="114"/>
      <c r="G210" s="114"/>
      <c r="H210" s="114"/>
      <c r="I210" s="30" t="s">
        <v>2722</v>
      </c>
      <c r="J210" s="156" t="s">
        <v>3251</v>
      </c>
      <c r="K210" s="30" t="s">
        <v>3082</v>
      </c>
      <c r="L210" s="156" t="s">
        <v>2544</v>
      </c>
      <c r="M210" s="30" t="s">
        <v>3139</v>
      </c>
      <c r="N210" s="140">
        <v>0</v>
      </c>
      <c r="O210" s="140" t="s">
        <v>0</v>
      </c>
      <c r="P210" s="140"/>
      <c r="Q210" s="30"/>
      <c r="R210" s="30"/>
      <c r="S210" s="30"/>
      <c r="T210" s="30"/>
      <c r="U210" s="173"/>
      <c r="V210" s="30"/>
      <c r="W210" s="30"/>
      <c r="X210" s="30" t="str">
        <f>CONCATENATE(O210,Q210,R210,S210,T210,U210)</f>
        <v xml:space="preserve"> </v>
      </c>
      <c r="Y210" s="172"/>
    </row>
    <row r="211" spans="1:25" ht="15" thickBot="1" x14ac:dyDescent="0.4">
      <c r="A211" s="101"/>
      <c r="B211" s="171" t="s">
        <v>2991</v>
      </c>
      <c r="C211" s="114">
        <v>0</v>
      </c>
      <c r="D211" s="114"/>
      <c r="E211" s="114"/>
      <c r="F211" s="114"/>
      <c r="G211" s="114"/>
      <c r="H211" s="114"/>
      <c r="I211" s="30" t="s">
        <v>2722</v>
      </c>
      <c r="J211" s="156" t="s">
        <v>3251</v>
      </c>
      <c r="K211" s="30" t="s">
        <v>3082</v>
      </c>
      <c r="L211" s="156" t="s">
        <v>2544</v>
      </c>
      <c r="M211" s="30" t="s">
        <v>3137</v>
      </c>
      <c r="N211" s="140">
        <v>0</v>
      </c>
      <c r="O211" s="140"/>
      <c r="P211" s="140" t="s">
        <v>0</v>
      </c>
      <c r="Q211" s="30"/>
      <c r="R211" s="30"/>
      <c r="S211" s="30"/>
      <c r="T211" s="30"/>
      <c r="U211" s="173"/>
      <c r="V211" s="30"/>
      <c r="W211" s="30"/>
      <c r="X211" s="30" t="str">
        <f>CONCATENATE(O211,Q211,R211,S211,T211,U211)</f>
        <v/>
      </c>
      <c r="Y211" s="172"/>
    </row>
    <row r="212" spans="1:25" x14ac:dyDescent="0.35">
      <c r="A212" s="101"/>
      <c r="B212" s="158" t="s">
        <v>2989</v>
      </c>
      <c r="C212" s="159">
        <v>125000</v>
      </c>
      <c r="D212" s="159"/>
      <c r="E212" s="159"/>
      <c r="F212" s="159"/>
      <c r="G212" s="159"/>
      <c r="H212" s="159"/>
      <c r="I212" s="160" t="s">
        <v>2722</v>
      </c>
      <c r="J212" s="160" t="s">
        <v>3251</v>
      </c>
      <c r="K212" s="160" t="s">
        <v>3086</v>
      </c>
      <c r="L212" s="161" t="s">
        <v>2544</v>
      </c>
      <c r="M212" s="160" t="s">
        <v>3137</v>
      </c>
      <c r="N212" s="176">
        <v>125000</v>
      </c>
      <c r="O212" s="176" t="s">
        <v>3299</v>
      </c>
      <c r="P212" s="176"/>
      <c r="Q212" s="160" t="s">
        <v>3153</v>
      </c>
      <c r="R212" s="160" t="s">
        <v>3255</v>
      </c>
      <c r="S212" s="160" t="s">
        <v>3253</v>
      </c>
      <c r="T212" s="160" t="s">
        <v>3257</v>
      </c>
      <c r="U212" s="162" t="s">
        <v>3332</v>
      </c>
      <c r="V212" s="160"/>
      <c r="W212" s="160"/>
      <c r="X212" s="160" t="str">
        <f>CONCATENATE(O212,Q212,R212,S212,T212,U212)</f>
        <v>Skills Development &amp; Training_NC066_2017/2018_O_EXP_082</v>
      </c>
      <c r="Y212" s="163" t="s">
        <v>3245</v>
      </c>
    </row>
    <row r="213" spans="1:25" x14ac:dyDescent="0.35">
      <c r="A213" s="101"/>
      <c r="B213" s="171" t="s">
        <v>2863</v>
      </c>
      <c r="C213" s="209">
        <v>202400</v>
      </c>
      <c r="D213" s="114"/>
      <c r="E213" s="114"/>
      <c r="F213" s="114"/>
      <c r="G213" s="114"/>
      <c r="H213" s="114"/>
      <c r="I213" s="30" t="s">
        <v>2721</v>
      </c>
      <c r="J213" s="156" t="s">
        <v>3251</v>
      </c>
      <c r="K213" s="30" t="s">
        <v>3086</v>
      </c>
      <c r="L213" s="156" t="s">
        <v>2544</v>
      </c>
      <c r="M213" s="30" t="s">
        <v>3135</v>
      </c>
      <c r="N213" s="140">
        <v>11900</v>
      </c>
      <c r="O213" s="140"/>
      <c r="P213" s="140" t="s">
        <v>0</v>
      </c>
      <c r="Q213" s="30"/>
      <c r="R213" s="30"/>
      <c r="S213" s="30"/>
      <c r="T213" s="30"/>
      <c r="U213" s="173"/>
      <c r="V213" s="30"/>
      <c r="W213" s="30"/>
      <c r="X213" s="30" t="str">
        <f t="shared" si="8"/>
        <v/>
      </c>
      <c r="Y213" s="172"/>
    </row>
    <row r="214" spans="1:25" ht="15" thickBot="1" x14ac:dyDescent="0.4">
      <c r="A214" s="101"/>
      <c r="B214" s="164" t="s">
        <v>2863</v>
      </c>
      <c r="C214" s="165"/>
      <c r="D214" s="165"/>
      <c r="E214" s="165"/>
      <c r="F214" s="165"/>
      <c r="G214" s="165"/>
      <c r="H214" s="165"/>
      <c r="I214" s="166" t="s">
        <v>2721</v>
      </c>
      <c r="J214" s="167" t="s">
        <v>3251</v>
      </c>
      <c r="K214" s="166" t="s">
        <v>3086</v>
      </c>
      <c r="L214" s="167" t="s">
        <v>2544</v>
      </c>
      <c r="M214" s="166" t="s">
        <v>3137</v>
      </c>
      <c r="N214" s="168">
        <f>202400-11900</f>
        <v>190500</v>
      </c>
      <c r="O214" s="168"/>
      <c r="P214" s="168"/>
      <c r="Q214" s="166"/>
      <c r="R214" s="166"/>
      <c r="S214" s="166"/>
      <c r="T214" s="166"/>
      <c r="U214" s="174"/>
      <c r="V214" s="166"/>
      <c r="W214" s="166"/>
      <c r="X214" s="166" t="str">
        <f t="shared" si="8"/>
        <v/>
      </c>
      <c r="Y214" s="170"/>
    </row>
    <row r="215" spans="1:25" x14ac:dyDescent="0.35">
      <c r="A215" s="101"/>
      <c r="B215" s="171" t="s">
        <v>2995</v>
      </c>
      <c r="C215" s="114">
        <v>50000</v>
      </c>
      <c r="D215" s="114"/>
      <c r="E215" s="114"/>
      <c r="F215" s="114"/>
      <c r="G215" s="114"/>
      <c r="H215" s="114"/>
      <c r="I215" s="30" t="s">
        <v>3400</v>
      </c>
      <c r="J215" s="30" t="s">
        <v>3249</v>
      </c>
      <c r="K215" s="30" t="s">
        <v>3104</v>
      </c>
      <c r="L215" s="156" t="s">
        <v>2544</v>
      </c>
      <c r="M215" s="30" t="s">
        <v>3134</v>
      </c>
      <c r="N215" s="140">
        <v>50000</v>
      </c>
      <c r="O215" s="140" t="s">
        <v>3203</v>
      </c>
      <c r="P215" s="140" t="s">
        <v>0</v>
      </c>
      <c r="Q215" s="30" t="s">
        <v>3153</v>
      </c>
      <c r="R215" s="30" t="s">
        <v>3255</v>
      </c>
      <c r="S215" s="30" t="s">
        <v>3253</v>
      </c>
      <c r="T215" s="30" t="s">
        <v>3257</v>
      </c>
      <c r="U215" s="157" t="s">
        <v>3333</v>
      </c>
      <c r="V215" s="30"/>
      <c r="W215" s="30"/>
      <c r="X215" s="30" t="str">
        <f t="shared" si="8"/>
        <v>EPWP_NC066_2017/2018_O_EXP_083</v>
      </c>
      <c r="Y215" s="172" t="s">
        <v>3245</v>
      </c>
    </row>
    <row r="216" spans="1:25" x14ac:dyDescent="0.35">
      <c r="A216" s="101"/>
      <c r="B216" s="171" t="s">
        <v>2994</v>
      </c>
      <c r="C216" s="114">
        <v>60000</v>
      </c>
      <c r="D216" s="114"/>
      <c r="E216" s="114"/>
      <c r="F216" s="114"/>
      <c r="G216" s="114"/>
      <c r="H216" s="114"/>
      <c r="I216" s="30" t="s">
        <v>3400</v>
      </c>
      <c r="J216" s="30" t="s">
        <v>3249</v>
      </c>
      <c r="K216" s="30" t="s">
        <v>3104</v>
      </c>
      <c r="L216" s="156" t="s">
        <v>2544</v>
      </c>
      <c r="M216" s="30" t="s">
        <v>3134</v>
      </c>
      <c r="N216" s="140">
        <v>60000</v>
      </c>
      <c r="O216" s="140"/>
      <c r="P216" s="140"/>
      <c r="Q216" s="30"/>
      <c r="R216" s="30"/>
      <c r="S216" s="30"/>
      <c r="T216" s="30"/>
      <c r="U216" s="173"/>
      <c r="V216" s="30"/>
      <c r="W216" s="30"/>
      <c r="X216" s="30" t="str">
        <f t="shared" si="8"/>
        <v/>
      </c>
      <c r="Y216" s="172"/>
    </row>
    <row r="217" spans="1:25" x14ac:dyDescent="0.35">
      <c r="A217" s="101"/>
      <c r="B217" s="171" t="s">
        <v>2999</v>
      </c>
      <c r="C217" s="114">
        <v>42000</v>
      </c>
      <c r="D217" s="114"/>
      <c r="E217" s="114"/>
      <c r="F217" s="114"/>
      <c r="G217" s="114"/>
      <c r="H217" s="114"/>
      <c r="I217" s="30" t="s">
        <v>3400</v>
      </c>
      <c r="J217" s="30" t="s">
        <v>3249</v>
      </c>
      <c r="K217" s="30" t="s">
        <v>3104</v>
      </c>
      <c r="L217" s="156" t="s">
        <v>2544</v>
      </c>
      <c r="M217" s="30" t="s">
        <v>3134</v>
      </c>
      <c r="N217" s="140">
        <v>42000</v>
      </c>
      <c r="O217" s="140"/>
      <c r="P217" s="140"/>
      <c r="Q217" s="30"/>
      <c r="R217" s="30"/>
      <c r="S217" s="30"/>
      <c r="T217" s="30"/>
      <c r="U217" s="173"/>
      <c r="V217" s="30"/>
      <c r="W217" s="30"/>
      <c r="X217" s="30" t="str">
        <f t="shared" si="8"/>
        <v/>
      </c>
      <c r="Y217" s="172"/>
    </row>
    <row r="218" spans="1:25" x14ac:dyDescent="0.35">
      <c r="A218" s="101"/>
      <c r="B218" s="171" t="s">
        <v>2998</v>
      </c>
      <c r="C218" s="209">
        <v>435000</v>
      </c>
      <c r="D218" s="114"/>
      <c r="E218" s="114"/>
      <c r="F218" s="114"/>
      <c r="G218" s="114"/>
      <c r="H218" s="114"/>
      <c r="I218" s="30" t="s">
        <v>3400</v>
      </c>
      <c r="J218" s="30" t="s">
        <v>3249</v>
      </c>
      <c r="K218" s="30" t="s">
        <v>3104</v>
      </c>
      <c r="L218" s="156" t="s">
        <v>2544</v>
      </c>
      <c r="M218" s="30" t="s">
        <v>3134</v>
      </c>
      <c r="N218" s="140">
        <v>435000</v>
      </c>
      <c r="O218" s="140"/>
      <c r="P218" s="140"/>
      <c r="Q218" s="30"/>
      <c r="R218" s="30"/>
      <c r="S218" s="30"/>
      <c r="T218" s="30"/>
      <c r="U218" s="173"/>
      <c r="V218" s="30"/>
      <c r="W218" s="30"/>
      <c r="X218" s="30" t="str">
        <f t="shared" si="8"/>
        <v/>
      </c>
      <c r="Y218" s="172"/>
    </row>
    <row r="219" spans="1:25" x14ac:dyDescent="0.35">
      <c r="A219" s="101" t="s">
        <v>245</v>
      </c>
      <c r="B219" s="171" t="s">
        <v>2996</v>
      </c>
      <c r="C219" s="114">
        <v>36000</v>
      </c>
      <c r="D219" s="114"/>
      <c r="E219" s="114"/>
      <c r="F219" s="114"/>
      <c r="G219" s="114"/>
      <c r="H219" s="114"/>
      <c r="I219" s="30" t="s">
        <v>3400</v>
      </c>
      <c r="J219" s="30" t="s">
        <v>3249</v>
      </c>
      <c r="K219" s="30" t="s">
        <v>3104</v>
      </c>
      <c r="L219" s="156" t="s">
        <v>2544</v>
      </c>
      <c r="M219" s="30" t="s">
        <v>3134</v>
      </c>
      <c r="N219" s="140">
        <v>36000</v>
      </c>
      <c r="O219" s="140"/>
      <c r="P219" s="140"/>
      <c r="Q219" s="30"/>
      <c r="R219" s="30"/>
      <c r="S219" s="30"/>
      <c r="T219" s="30"/>
      <c r="U219" s="173"/>
      <c r="V219" s="30"/>
      <c r="W219" s="30"/>
      <c r="X219" s="30" t="str">
        <f t="shared" si="8"/>
        <v/>
      </c>
      <c r="Y219" s="172"/>
    </row>
    <row r="220" spans="1:25" ht="15" thickBot="1" x14ac:dyDescent="0.4">
      <c r="A220" s="101" t="s">
        <v>269</v>
      </c>
      <c r="B220" s="164" t="s">
        <v>2997</v>
      </c>
      <c r="C220" s="165">
        <v>27000</v>
      </c>
      <c r="D220" s="165"/>
      <c r="E220" s="165"/>
      <c r="F220" s="165"/>
      <c r="G220" s="165"/>
      <c r="H220" s="165"/>
      <c r="I220" s="166" t="s">
        <v>3400</v>
      </c>
      <c r="J220" s="166" t="s">
        <v>3249</v>
      </c>
      <c r="K220" s="166" t="s">
        <v>3104</v>
      </c>
      <c r="L220" s="167" t="s">
        <v>2544</v>
      </c>
      <c r="M220" s="166" t="s">
        <v>3134</v>
      </c>
      <c r="N220" s="168">
        <v>27000</v>
      </c>
      <c r="O220" s="168"/>
      <c r="P220" s="168"/>
      <c r="Q220" s="166"/>
      <c r="R220" s="166"/>
      <c r="S220" s="166"/>
      <c r="T220" s="166"/>
      <c r="U220" s="174"/>
      <c r="V220" s="166"/>
      <c r="W220" s="166"/>
      <c r="X220" s="166" t="str">
        <f t="shared" si="8"/>
        <v/>
      </c>
      <c r="Y220" s="170"/>
    </row>
    <row r="221" spans="1:25" ht="15" thickBot="1" x14ac:dyDescent="0.4">
      <c r="A221" s="101"/>
      <c r="B221" s="154" t="s">
        <v>2993</v>
      </c>
      <c r="C221" s="208">
        <v>350000</v>
      </c>
      <c r="D221" s="179"/>
      <c r="E221" s="179"/>
      <c r="F221" s="179"/>
      <c r="G221" s="179"/>
      <c r="H221" s="179"/>
      <c r="I221" s="180" t="s">
        <v>2721</v>
      </c>
      <c r="J221" s="180" t="s">
        <v>3249</v>
      </c>
      <c r="K221" s="180" t="s">
        <v>3109</v>
      </c>
      <c r="L221" s="181" t="s">
        <v>2544</v>
      </c>
      <c r="M221" s="180" t="s">
        <v>3134</v>
      </c>
      <c r="N221" s="184">
        <v>350000</v>
      </c>
      <c r="O221" s="184" t="s">
        <v>2993</v>
      </c>
      <c r="P221" s="184"/>
      <c r="Q221" s="180" t="s">
        <v>3153</v>
      </c>
      <c r="R221" s="180" t="s">
        <v>3255</v>
      </c>
      <c r="S221" s="180" t="s">
        <v>3253</v>
      </c>
      <c r="T221" s="180" t="s">
        <v>3257</v>
      </c>
      <c r="U221" s="182" t="s">
        <v>3334</v>
      </c>
      <c r="V221" s="180"/>
      <c r="W221" s="180"/>
      <c r="X221" s="180" t="str">
        <f t="shared" si="8"/>
        <v>EPWP Expenses: Wages_NC066_2017/2018_O_EXP_084</v>
      </c>
      <c r="Y221" s="183" t="s">
        <v>3245</v>
      </c>
    </row>
    <row r="222" spans="1:25" x14ac:dyDescent="0.35">
      <c r="A222" s="101" t="s">
        <v>208</v>
      </c>
      <c r="B222" s="158" t="s">
        <v>3067</v>
      </c>
      <c r="C222" s="210">
        <v>485000</v>
      </c>
      <c r="D222" s="159"/>
      <c r="E222" s="159"/>
      <c r="F222" s="159"/>
      <c r="G222" s="159"/>
      <c r="H222" s="159"/>
      <c r="I222" s="160" t="s">
        <v>2722</v>
      </c>
      <c r="J222" s="160" t="s">
        <v>3249</v>
      </c>
      <c r="K222" s="160" t="s">
        <v>3106</v>
      </c>
      <c r="L222" s="161" t="s">
        <v>2544</v>
      </c>
      <c r="M222" s="160" t="s">
        <v>3137</v>
      </c>
      <c r="N222" s="176">
        <v>485000</v>
      </c>
      <c r="O222" s="176" t="s">
        <v>3182</v>
      </c>
      <c r="P222" s="176" t="s">
        <v>3282</v>
      </c>
      <c r="Q222" s="160" t="s">
        <v>3153</v>
      </c>
      <c r="R222" s="160" t="s">
        <v>3255</v>
      </c>
      <c r="S222" s="160" t="s">
        <v>3253</v>
      </c>
      <c r="T222" s="160" t="s">
        <v>3257</v>
      </c>
      <c r="U222" s="162" t="s">
        <v>3335</v>
      </c>
      <c r="V222" s="160"/>
      <c r="W222" s="160"/>
      <c r="X222" s="160" t="str">
        <f>CONCATENATE(O222,"_",P222,Q222,R222,S222,T222,U222)</f>
        <v>Loans and Leases_STBank_NC066_2017/2018_O_EXP_085</v>
      </c>
      <c r="Y222" s="163" t="s">
        <v>3245</v>
      </c>
    </row>
    <row r="223" spans="1:25" ht="15" thickBot="1" x14ac:dyDescent="0.4">
      <c r="A223" s="146"/>
      <c r="B223" s="171" t="s">
        <v>3066</v>
      </c>
      <c r="C223" s="209">
        <v>285500</v>
      </c>
      <c r="D223" s="114"/>
      <c r="E223" s="114"/>
      <c r="F223" s="114"/>
      <c r="G223" s="114"/>
      <c r="H223" s="114"/>
      <c r="I223" s="30" t="s">
        <v>3063</v>
      </c>
      <c r="J223" s="30" t="s">
        <v>3249</v>
      </c>
      <c r="K223" s="30" t="s">
        <v>3106</v>
      </c>
      <c r="L223" s="156" t="s">
        <v>2544</v>
      </c>
      <c r="M223" s="30" t="s">
        <v>3145</v>
      </c>
      <c r="N223" s="140">
        <v>285500</v>
      </c>
      <c r="O223" s="140"/>
      <c r="P223" s="140"/>
      <c r="Q223" s="30"/>
      <c r="R223" s="30"/>
      <c r="S223" s="30"/>
      <c r="T223" s="30"/>
      <c r="U223" s="173"/>
      <c r="V223" s="30"/>
      <c r="W223" s="30"/>
      <c r="X223" s="30" t="str">
        <f>CONCATENATE(O223,Q223,R223,S223,T223,U223)</f>
        <v/>
      </c>
      <c r="Y223" s="172"/>
    </row>
    <row r="224" spans="1:25" x14ac:dyDescent="0.35">
      <c r="A224" s="149"/>
      <c r="B224" s="158" t="s">
        <v>3065</v>
      </c>
      <c r="C224" s="159">
        <v>192000</v>
      </c>
      <c r="D224" s="159"/>
      <c r="E224" s="159"/>
      <c r="F224" s="159"/>
      <c r="G224" s="159"/>
      <c r="H224" s="159"/>
      <c r="I224" s="160" t="s">
        <v>2722</v>
      </c>
      <c r="J224" s="160" t="s">
        <v>3249</v>
      </c>
      <c r="K224" s="160" t="s">
        <v>3107</v>
      </c>
      <c r="L224" s="161" t="s">
        <v>2544</v>
      </c>
      <c r="M224" s="160" t="s">
        <v>3138</v>
      </c>
      <c r="N224" s="176">
        <f>192000</f>
        <v>192000</v>
      </c>
      <c r="O224" s="176" t="s">
        <v>3182</v>
      </c>
      <c r="P224" s="176" t="s">
        <v>3283</v>
      </c>
      <c r="Q224" s="160" t="s">
        <v>3153</v>
      </c>
      <c r="R224" s="160" t="s">
        <v>3255</v>
      </c>
      <c r="S224" s="160" t="s">
        <v>3253</v>
      </c>
      <c r="T224" s="160" t="s">
        <v>3257</v>
      </c>
      <c r="U224" s="162" t="s">
        <v>3336</v>
      </c>
      <c r="V224" s="160"/>
      <c r="W224" s="160"/>
      <c r="X224" s="160" t="str">
        <f>CONCATENATE(O224,"_",P224,Q224,R224,S224,T224,U224)</f>
        <v>Loans and Leases_DBSA_NC066_2017/2018_O_EXP_086</v>
      </c>
      <c r="Y224" s="163" t="s">
        <v>3245</v>
      </c>
    </row>
    <row r="225" spans="1:25" ht="15" thickBot="1" x14ac:dyDescent="0.4">
      <c r="A225" s="151"/>
      <c r="B225" s="171" t="s">
        <v>3064</v>
      </c>
      <c r="C225" s="114">
        <v>109300</v>
      </c>
      <c r="D225" s="114"/>
      <c r="E225" s="114"/>
      <c r="F225" s="114"/>
      <c r="G225" s="114"/>
      <c r="H225" s="114"/>
      <c r="I225" s="30" t="s">
        <v>3063</v>
      </c>
      <c r="J225" s="30" t="s">
        <v>3249</v>
      </c>
      <c r="K225" s="30" t="s">
        <v>3107</v>
      </c>
      <c r="L225" s="156" t="s">
        <v>2544</v>
      </c>
      <c r="M225" s="30" t="s">
        <v>3138</v>
      </c>
      <c r="N225" s="140">
        <v>109300</v>
      </c>
      <c r="O225" s="140"/>
      <c r="P225" s="140"/>
      <c r="Q225" s="30"/>
      <c r="R225" s="30"/>
      <c r="S225" s="30"/>
      <c r="T225" s="30"/>
      <c r="U225" s="173"/>
      <c r="V225" s="30"/>
      <c r="W225" s="30"/>
      <c r="X225" s="30" t="str">
        <f t="shared" si="8"/>
        <v/>
      </c>
      <c r="Y225" s="172"/>
    </row>
    <row r="226" spans="1:25" x14ac:dyDescent="0.35">
      <c r="A226" s="148"/>
      <c r="B226" s="158" t="s">
        <v>2734</v>
      </c>
      <c r="C226" s="159">
        <v>87000</v>
      </c>
      <c r="D226" s="159"/>
      <c r="E226" s="159"/>
      <c r="F226" s="159"/>
      <c r="G226" s="159"/>
      <c r="H226" s="159"/>
      <c r="I226" s="160" t="s">
        <v>2722</v>
      </c>
      <c r="J226" s="160" t="s">
        <v>3252</v>
      </c>
      <c r="K226" s="160" t="s">
        <v>3085</v>
      </c>
      <c r="L226" s="161" t="s">
        <v>2544</v>
      </c>
      <c r="M226" s="160" t="s">
        <v>3140</v>
      </c>
      <c r="N226" s="176">
        <v>82900</v>
      </c>
      <c r="O226" s="176" t="s">
        <v>3284</v>
      </c>
      <c r="P226" s="176" t="s">
        <v>3285</v>
      </c>
      <c r="Q226" s="160" t="s">
        <v>3153</v>
      </c>
      <c r="R226" s="160" t="s">
        <v>3255</v>
      </c>
      <c r="S226" s="160" t="s">
        <v>3253</v>
      </c>
      <c r="T226" s="160" t="s">
        <v>3257</v>
      </c>
      <c r="U226" s="162" t="s">
        <v>3337</v>
      </c>
      <c r="V226" s="160"/>
      <c r="W226" s="160"/>
      <c r="X226" s="160" t="str">
        <f>CONCATENATE(O226,"_",P226,Q226,R226,S226,T226,U226)</f>
        <v>Finance Leases_Copier, External Capital &amp; Interest_NC066_2017/2018_O_EXP_087</v>
      </c>
      <c r="Y226" s="163" t="s">
        <v>3245</v>
      </c>
    </row>
    <row r="227" spans="1:25" x14ac:dyDescent="0.35">
      <c r="A227" s="101"/>
      <c r="B227" s="171" t="s">
        <v>2734</v>
      </c>
      <c r="C227" s="114"/>
      <c r="D227" s="114"/>
      <c r="E227" s="114"/>
      <c r="F227" s="114"/>
      <c r="G227" s="114"/>
      <c r="H227" s="114"/>
      <c r="I227" s="30" t="s">
        <v>2722</v>
      </c>
      <c r="J227" s="30" t="s">
        <v>3252</v>
      </c>
      <c r="K227" s="30" t="s">
        <v>3085</v>
      </c>
      <c r="L227" s="156" t="s">
        <v>2544</v>
      </c>
      <c r="M227" s="30" t="s">
        <v>3144</v>
      </c>
      <c r="N227" s="140">
        <f>87000-82900</f>
        <v>4100</v>
      </c>
      <c r="O227" s="140"/>
      <c r="P227" s="140"/>
      <c r="Q227" s="30"/>
      <c r="R227" s="30"/>
      <c r="S227" s="30"/>
      <c r="T227" s="30"/>
      <c r="U227" s="173"/>
      <c r="V227" s="30"/>
      <c r="W227" s="30"/>
      <c r="X227" s="30" t="str">
        <f t="shared" si="8"/>
        <v/>
      </c>
      <c r="Y227" s="172"/>
    </row>
    <row r="228" spans="1:25" x14ac:dyDescent="0.35">
      <c r="A228" s="101"/>
      <c r="B228" s="171" t="s">
        <v>3061</v>
      </c>
      <c r="C228" s="114">
        <v>148000</v>
      </c>
      <c r="D228" s="114"/>
      <c r="E228" s="114"/>
      <c r="F228" s="114"/>
      <c r="G228" s="114"/>
      <c r="H228" s="114"/>
      <c r="I228" s="30" t="s">
        <v>2722</v>
      </c>
      <c r="J228" s="30" t="s">
        <v>3252</v>
      </c>
      <c r="K228" s="30" t="s">
        <v>3085</v>
      </c>
      <c r="L228" s="156" t="s">
        <v>2544</v>
      </c>
      <c r="M228" s="30" t="s">
        <v>3137</v>
      </c>
      <c r="N228" s="140">
        <v>148000</v>
      </c>
      <c r="O228" s="140"/>
      <c r="P228" s="140"/>
      <c r="Q228" s="30"/>
      <c r="R228" s="30"/>
      <c r="S228" s="30"/>
      <c r="T228" s="30"/>
      <c r="U228" s="173"/>
      <c r="V228" s="30"/>
      <c r="W228" s="30"/>
      <c r="X228" s="30" t="str">
        <f t="shared" si="8"/>
        <v/>
      </c>
      <c r="Y228" s="172"/>
    </row>
    <row r="229" spans="1:25" x14ac:dyDescent="0.35">
      <c r="A229" s="101" t="s">
        <v>738</v>
      </c>
      <c r="B229" s="171" t="s">
        <v>3062</v>
      </c>
      <c r="C229" s="114">
        <v>119000</v>
      </c>
      <c r="D229" s="114"/>
      <c r="E229" s="114"/>
      <c r="F229" s="114"/>
      <c r="G229" s="114"/>
      <c r="H229" s="114"/>
      <c r="I229" s="30" t="s">
        <v>3063</v>
      </c>
      <c r="J229" s="30" t="s">
        <v>3252</v>
      </c>
      <c r="K229" s="30" t="s">
        <v>3085</v>
      </c>
      <c r="L229" s="156" t="s">
        <v>2544</v>
      </c>
      <c r="M229" s="30" t="s">
        <v>3137</v>
      </c>
      <c r="N229" s="140">
        <v>119000</v>
      </c>
      <c r="O229" s="140"/>
      <c r="P229" s="140"/>
      <c r="Q229" s="30"/>
      <c r="R229" s="30"/>
      <c r="S229" s="30"/>
      <c r="T229" s="30"/>
      <c r="U229" s="173"/>
      <c r="V229" s="30"/>
      <c r="W229" s="30"/>
      <c r="X229" s="30" t="str">
        <f t="shared" si="8"/>
        <v/>
      </c>
      <c r="Y229" s="172"/>
    </row>
    <row r="230" spans="1:25" ht="15" thickBot="1" x14ac:dyDescent="0.4">
      <c r="A230" s="101" t="s">
        <v>629</v>
      </c>
      <c r="B230" s="164" t="s">
        <v>3060</v>
      </c>
      <c r="C230" s="165">
        <v>0</v>
      </c>
      <c r="D230" s="165"/>
      <c r="E230" s="165"/>
      <c r="F230" s="165"/>
      <c r="G230" s="165"/>
      <c r="H230" s="165"/>
      <c r="I230" s="166" t="s">
        <v>3063</v>
      </c>
      <c r="J230" s="166" t="s">
        <v>3252</v>
      </c>
      <c r="K230" s="166" t="s">
        <v>3085</v>
      </c>
      <c r="L230" s="167" t="s">
        <v>2544</v>
      </c>
      <c r="M230" s="166" t="s">
        <v>3137</v>
      </c>
      <c r="N230" s="168">
        <v>0</v>
      </c>
      <c r="O230" s="168"/>
      <c r="P230" s="168"/>
      <c r="Q230" s="166"/>
      <c r="R230" s="166"/>
      <c r="S230" s="166"/>
      <c r="T230" s="166"/>
      <c r="U230" s="174"/>
      <c r="V230" s="166"/>
      <c r="W230" s="166"/>
      <c r="X230" s="166" t="str">
        <f t="shared" si="8"/>
        <v/>
      </c>
      <c r="Y230" s="170"/>
    </row>
    <row r="231" spans="1:25" x14ac:dyDescent="0.35">
      <c r="A231" s="101" t="s">
        <v>356</v>
      </c>
      <c r="B231" s="171" t="s">
        <v>2890</v>
      </c>
      <c r="C231" s="114">
        <v>0</v>
      </c>
      <c r="D231" s="114"/>
      <c r="E231" s="114"/>
      <c r="F231" s="114"/>
      <c r="G231" s="114"/>
      <c r="H231" s="114"/>
      <c r="I231" s="30" t="s">
        <v>2722</v>
      </c>
      <c r="J231" s="30" t="s">
        <v>3249</v>
      </c>
      <c r="K231" s="30" t="s">
        <v>3106</v>
      </c>
      <c r="L231" s="156" t="s">
        <v>2544</v>
      </c>
      <c r="M231" s="30" t="s">
        <v>3137</v>
      </c>
      <c r="N231" s="140">
        <v>0</v>
      </c>
      <c r="O231" s="140" t="s">
        <v>3211</v>
      </c>
      <c r="P231" s="140"/>
      <c r="Q231" s="30" t="s">
        <v>3153</v>
      </c>
      <c r="R231" s="30" t="s">
        <v>3255</v>
      </c>
      <c r="S231" s="30" t="s">
        <v>3253</v>
      </c>
      <c r="T231" s="30" t="s">
        <v>3257</v>
      </c>
      <c r="U231" s="157" t="s">
        <v>3338</v>
      </c>
      <c r="V231" s="30"/>
      <c r="W231" s="30"/>
      <c r="X231" s="30" t="str">
        <f t="shared" si="8"/>
        <v>Fuel_NC066_2017/2018_O_EXP_088</v>
      </c>
      <c r="Y231" s="172" t="s">
        <v>3245</v>
      </c>
    </row>
    <row r="232" spans="1:25" ht="15" thickBot="1" x14ac:dyDescent="0.4">
      <c r="A232" s="101" t="s">
        <v>785</v>
      </c>
      <c r="B232" s="164" t="s">
        <v>2891</v>
      </c>
      <c r="C232" s="211">
        <v>412500</v>
      </c>
      <c r="D232" s="165"/>
      <c r="E232" s="165"/>
      <c r="F232" s="165"/>
      <c r="G232" s="165"/>
      <c r="H232" s="165"/>
      <c r="I232" s="166" t="s">
        <v>2722</v>
      </c>
      <c r="J232" s="166" t="s">
        <v>3249</v>
      </c>
      <c r="K232" s="166" t="s">
        <v>3106</v>
      </c>
      <c r="L232" s="167" t="s">
        <v>2544</v>
      </c>
      <c r="M232" s="166" t="s">
        <v>2712</v>
      </c>
      <c r="N232" s="168">
        <v>412500</v>
      </c>
      <c r="O232" s="168"/>
      <c r="P232" s="168"/>
      <c r="Q232" s="166"/>
      <c r="R232" s="166"/>
      <c r="S232" s="166"/>
      <c r="T232" s="166"/>
      <c r="U232" s="174"/>
      <c r="V232" s="166"/>
      <c r="W232" s="166"/>
      <c r="X232" s="166" t="str">
        <f t="shared" si="8"/>
        <v/>
      </c>
      <c r="Y232" s="170"/>
    </row>
    <row r="233" spans="1:25" ht="15.75" customHeight="1" x14ac:dyDescent="0.35">
      <c r="A233" s="101" t="s">
        <v>347</v>
      </c>
      <c r="B233" s="171" t="s">
        <v>2956</v>
      </c>
      <c r="C233" s="209">
        <v>401000</v>
      </c>
      <c r="D233" s="114"/>
      <c r="E233" s="114"/>
      <c r="F233" s="114"/>
      <c r="G233" s="114"/>
      <c r="H233" s="114"/>
      <c r="I233" s="30" t="s">
        <v>2958</v>
      </c>
      <c r="J233" s="30" t="s">
        <v>3248</v>
      </c>
      <c r="K233" s="30" t="s">
        <v>3112</v>
      </c>
      <c r="L233" s="156" t="s">
        <v>2544</v>
      </c>
      <c r="M233" s="30" t="s">
        <v>3137</v>
      </c>
      <c r="N233" s="114">
        <v>401000</v>
      </c>
      <c r="O233" s="114" t="s">
        <v>3184</v>
      </c>
      <c r="P233" s="114"/>
      <c r="Q233" s="30" t="s">
        <v>3153</v>
      </c>
      <c r="R233" s="30" t="s">
        <v>3255</v>
      </c>
      <c r="S233" s="30" t="s">
        <v>3253</v>
      </c>
      <c r="T233" s="30" t="s">
        <v>3257</v>
      </c>
      <c r="U233" s="157" t="s">
        <v>3339</v>
      </c>
      <c r="V233" s="30"/>
      <c r="W233" s="30"/>
      <c r="X233" s="30" t="str">
        <f t="shared" si="8"/>
        <v>Indigent Subsidies_NC066_2017/2018_O_EXP_089</v>
      </c>
      <c r="Y233" s="172" t="s">
        <v>3245</v>
      </c>
    </row>
    <row r="234" spans="1:25" x14ac:dyDescent="0.35">
      <c r="A234" s="101" t="s">
        <v>255</v>
      </c>
      <c r="B234" s="171" t="s">
        <v>2957</v>
      </c>
      <c r="C234" s="209">
        <v>505000</v>
      </c>
      <c r="D234" s="114"/>
      <c r="E234" s="114"/>
      <c r="F234" s="114"/>
      <c r="G234" s="114"/>
      <c r="H234" s="114"/>
      <c r="I234" s="30" t="s">
        <v>2958</v>
      </c>
      <c r="J234" s="30" t="s">
        <v>3248</v>
      </c>
      <c r="K234" s="30" t="s">
        <v>3112</v>
      </c>
      <c r="L234" s="156" t="s">
        <v>2544</v>
      </c>
      <c r="M234" s="30" t="s">
        <v>3137</v>
      </c>
      <c r="N234" s="114">
        <v>505000</v>
      </c>
      <c r="O234" s="114"/>
      <c r="P234" s="114"/>
      <c r="Q234" s="30"/>
      <c r="R234" s="30"/>
      <c r="S234" s="30"/>
      <c r="T234" s="30"/>
      <c r="U234" s="173"/>
      <c r="V234" s="30"/>
      <c r="W234" s="30"/>
      <c r="X234" s="30" t="str">
        <f t="shared" si="8"/>
        <v/>
      </c>
      <c r="Y234" s="172"/>
    </row>
    <row r="235" spans="1:25" x14ac:dyDescent="0.35">
      <c r="A235" s="101" t="s">
        <v>206</v>
      </c>
      <c r="B235" s="171" t="s">
        <v>2953</v>
      </c>
      <c r="C235" s="209">
        <v>880000</v>
      </c>
      <c r="D235" s="114"/>
      <c r="E235" s="114"/>
      <c r="F235" s="114"/>
      <c r="G235" s="114"/>
      <c r="H235" s="114"/>
      <c r="I235" s="30" t="s">
        <v>2958</v>
      </c>
      <c r="J235" s="30" t="s">
        <v>3248</v>
      </c>
      <c r="K235" s="30" t="s">
        <v>3112</v>
      </c>
      <c r="L235" s="156" t="s">
        <v>2544</v>
      </c>
      <c r="M235" s="30" t="s">
        <v>3137</v>
      </c>
      <c r="N235" s="114">
        <v>880000</v>
      </c>
      <c r="O235" s="114"/>
      <c r="P235" s="114"/>
      <c r="Q235" s="30"/>
      <c r="R235" s="30"/>
      <c r="S235" s="30"/>
      <c r="T235" s="30"/>
      <c r="U235" s="173"/>
      <c r="V235" s="30"/>
      <c r="W235" s="30"/>
      <c r="X235" s="30" t="str">
        <f t="shared" si="8"/>
        <v/>
      </c>
      <c r="Y235" s="172"/>
    </row>
    <row r="236" spans="1:25" x14ac:dyDescent="0.35">
      <c r="A236" s="101"/>
      <c r="B236" s="171" t="s">
        <v>2954</v>
      </c>
      <c r="C236" s="209">
        <v>980000</v>
      </c>
      <c r="D236" s="114"/>
      <c r="E236" s="114"/>
      <c r="F236" s="114"/>
      <c r="G236" s="114"/>
      <c r="H236" s="114"/>
      <c r="I236" s="30" t="s">
        <v>2958</v>
      </c>
      <c r="J236" s="30" t="s">
        <v>3248</v>
      </c>
      <c r="K236" s="30" t="s">
        <v>3112</v>
      </c>
      <c r="L236" s="156" t="s">
        <v>2544</v>
      </c>
      <c r="M236" s="30" t="s">
        <v>3137</v>
      </c>
      <c r="N236" s="114">
        <v>980000</v>
      </c>
      <c r="O236" s="114"/>
      <c r="P236" s="114"/>
      <c r="Q236" s="30"/>
      <c r="R236" s="30"/>
      <c r="S236" s="30"/>
      <c r="T236" s="30"/>
      <c r="U236" s="173"/>
      <c r="V236" s="30"/>
      <c r="W236" s="30"/>
      <c r="X236" s="30" t="str">
        <f t="shared" si="8"/>
        <v/>
      </c>
      <c r="Y236" s="172"/>
    </row>
    <row r="237" spans="1:25" x14ac:dyDescent="0.35">
      <c r="A237" s="101"/>
      <c r="B237" s="171" t="s">
        <v>2955</v>
      </c>
      <c r="C237" s="209">
        <v>745000</v>
      </c>
      <c r="D237" s="114"/>
      <c r="E237" s="114"/>
      <c r="F237" s="114"/>
      <c r="G237" s="114"/>
      <c r="H237" s="114"/>
      <c r="I237" s="30" t="s">
        <v>2958</v>
      </c>
      <c r="J237" s="30" t="s">
        <v>3248</v>
      </c>
      <c r="K237" s="30" t="s">
        <v>3112</v>
      </c>
      <c r="L237" s="156" t="s">
        <v>2544</v>
      </c>
      <c r="M237" s="30" t="s">
        <v>3137</v>
      </c>
      <c r="N237" s="114">
        <v>745000</v>
      </c>
      <c r="O237" s="114"/>
      <c r="P237" s="114"/>
      <c r="Q237" s="30"/>
      <c r="R237" s="30"/>
      <c r="S237" s="30"/>
      <c r="T237" s="30"/>
      <c r="U237" s="173"/>
      <c r="V237" s="30"/>
      <c r="W237" s="30"/>
      <c r="X237" s="30" t="str">
        <f t="shared" si="8"/>
        <v/>
      </c>
      <c r="Y237" s="172"/>
    </row>
    <row r="238" spans="1:25" ht="15" thickBot="1" x14ac:dyDescent="0.4">
      <c r="A238" s="101"/>
      <c r="B238" s="171" t="s">
        <v>2645</v>
      </c>
      <c r="C238" s="114">
        <v>0</v>
      </c>
      <c r="D238" s="114"/>
      <c r="E238" s="114"/>
      <c r="F238" s="114"/>
      <c r="G238" s="114"/>
      <c r="H238" s="114"/>
      <c r="I238" s="30" t="s">
        <v>2958</v>
      </c>
      <c r="J238" s="30" t="s">
        <v>3248</v>
      </c>
      <c r="K238" s="30" t="s">
        <v>3112</v>
      </c>
      <c r="L238" s="156" t="s">
        <v>2544</v>
      </c>
      <c r="M238" s="30" t="s">
        <v>3137</v>
      </c>
      <c r="N238" s="140">
        <v>0</v>
      </c>
      <c r="O238" s="140"/>
      <c r="P238" s="140"/>
      <c r="Q238" s="30"/>
      <c r="R238" s="30"/>
      <c r="S238" s="30"/>
      <c r="T238" s="30"/>
      <c r="U238" s="173"/>
      <c r="V238" s="30"/>
      <c r="W238" s="30"/>
      <c r="X238" s="30" t="str">
        <f t="shared" si="8"/>
        <v/>
      </c>
      <c r="Y238" s="172"/>
    </row>
    <row r="239" spans="1:25" x14ac:dyDescent="0.35">
      <c r="A239" s="101"/>
      <c r="B239" s="158" t="s">
        <v>2851</v>
      </c>
      <c r="C239" s="210">
        <v>280000</v>
      </c>
      <c r="D239" s="159"/>
      <c r="E239" s="159"/>
      <c r="F239" s="159"/>
      <c r="G239" s="159"/>
      <c r="H239" s="159"/>
      <c r="I239" s="160" t="s">
        <v>2722</v>
      </c>
      <c r="J239" s="160" t="s">
        <v>3248</v>
      </c>
      <c r="K239" s="160" t="s">
        <v>3090</v>
      </c>
      <c r="L239" s="161" t="s">
        <v>2544</v>
      </c>
      <c r="M239" s="160" t="s">
        <v>3135</v>
      </c>
      <c r="N239" s="176">
        <v>10000</v>
      </c>
      <c r="O239" s="176" t="s">
        <v>3209</v>
      </c>
      <c r="P239" s="176"/>
      <c r="Q239" s="160" t="s">
        <v>3153</v>
      </c>
      <c r="R239" s="160" t="s">
        <v>3255</v>
      </c>
      <c r="S239" s="160" t="s">
        <v>3253</v>
      </c>
      <c r="T239" s="160" t="s">
        <v>3257</v>
      </c>
      <c r="U239" s="162" t="s">
        <v>3340</v>
      </c>
      <c r="V239" s="160"/>
      <c r="W239" s="160"/>
      <c r="X239" s="160" t="str">
        <f t="shared" si="8"/>
        <v>Insurance _NC066_2017/2018_O_EXP_090</v>
      </c>
      <c r="Y239" s="163" t="s">
        <v>3245</v>
      </c>
    </row>
    <row r="240" spans="1:25" ht="15" thickBot="1" x14ac:dyDescent="0.4">
      <c r="A240" s="101"/>
      <c r="B240" s="164" t="s">
        <v>2851</v>
      </c>
      <c r="C240" s="165"/>
      <c r="D240" s="165"/>
      <c r="E240" s="165"/>
      <c r="F240" s="165"/>
      <c r="G240" s="165"/>
      <c r="H240" s="165"/>
      <c r="I240" s="166" t="s">
        <v>2722</v>
      </c>
      <c r="J240" s="166" t="s">
        <v>3248</v>
      </c>
      <c r="K240" s="166" t="s">
        <v>3090</v>
      </c>
      <c r="L240" s="167" t="s">
        <v>2544</v>
      </c>
      <c r="M240" s="166" t="s">
        <v>3139</v>
      </c>
      <c r="N240" s="168">
        <v>270000</v>
      </c>
      <c r="O240" s="168"/>
      <c r="P240" s="168"/>
      <c r="Q240" s="166"/>
      <c r="R240" s="166"/>
      <c r="S240" s="166"/>
      <c r="T240" s="166"/>
      <c r="U240" s="174"/>
      <c r="V240" s="166"/>
      <c r="W240" s="166"/>
      <c r="X240" s="166" t="str">
        <f t="shared" si="8"/>
        <v/>
      </c>
      <c r="Y240" s="170"/>
    </row>
    <row r="241" spans="1:25" x14ac:dyDescent="0.35">
      <c r="A241" s="101" t="s">
        <v>410</v>
      </c>
      <c r="B241" s="171" t="s">
        <v>3047</v>
      </c>
      <c r="C241" s="114">
        <v>0</v>
      </c>
      <c r="D241" s="114"/>
      <c r="E241" s="114"/>
      <c r="F241" s="114"/>
      <c r="G241" s="114"/>
      <c r="H241" s="114"/>
      <c r="I241" s="30" t="s">
        <v>2722</v>
      </c>
      <c r="J241" s="30" t="s">
        <v>3249</v>
      </c>
      <c r="K241" s="156" t="s">
        <v>3102</v>
      </c>
      <c r="L241" s="156" t="s">
        <v>2544</v>
      </c>
      <c r="M241" s="30" t="s">
        <v>3139</v>
      </c>
      <c r="N241" s="140">
        <v>0</v>
      </c>
      <c r="O241" s="140" t="s">
        <v>3215</v>
      </c>
      <c r="P241" s="140"/>
      <c r="Q241" s="30" t="s">
        <v>3153</v>
      </c>
      <c r="R241" s="30" t="s">
        <v>3255</v>
      </c>
      <c r="S241" s="30" t="s">
        <v>3253</v>
      </c>
      <c r="T241" s="30" t="s">
        <v>3257</v>
      </c>
      <c r="U241" s="157" t="s">
        <v>3341</v>
      </c>
      <c r="V241" s="30"/>
      <c r="W241" s="30"/>
      <c r="X241" s="30" t="str">
        <f t="shared" si="8"/>
        <v>Land Survey_NC066_2017/2018_O_EXP_091</v>
      </c>
      <c r="Y241" s="172" t="s">
        <v>3245</v>
      </c>
    </row>
    <row r="242" spans="1:25" ht="15" thickBot="1" x14ac:dyDescent="0.4">
      <c r="A242" s="146"/>
      <c r="B242" s="164" t="s">
        <v>3048</v>
      </c>
      <c r="C242" s="165">
        <v>0</v>
      </c>
      <c r="D242" s="165"/>
      <c r="E242" s="165"/>
      <c r="F242" s="165"/>
      <c r="G242" s="165"/>
      <c r="H242" s="165"/>
      <c r="I242" s="166" t="s">
        <v>2722</v>
      </c>
      <c r="J242" s="166" t="s">
        <v>3249</v>
      </c>
      <c r="K242" s="167" t="s">
        <v>3102</v>
      </c>
      <c r="L242" s="167" t="s">
        <v>2544</v>
      </c>
      <c r="M242" s="166" t="s">
        <v>3137</v>
      </c>
      <c r="N242" s="168">
        <v>0</v>
      </c>
      <c r="O242" s="168"/>
      <c r="P242" s="168"/>
      <c r="Q242" s="166"/>
      <c r="R242" s="166"/>
      <c r="S242" s="166"/>
      <c r="T242" s="166"/>
      <c r="U242" s="174"/>
      <c r="V242" s="166"/>
      <c r="W242" s="166"/>
      <c r="X242" s="166" t="str">
        <f t="shared" si="8"/>
        <v/>
      </c>
      <c r="Y242" s="170"/>
    </row>
    <row r="243" spans="1:25" x14ac:dyDescent="0.35">
      <c r="A243" s="149" t="s">
        <v>801</v>
      </c>
      <c r="B243" s="171" t="s">
        <v>2987</v>
      </c>
      <c r="C243" s="114">
        <v>1500</v>
      </c>
      <c r="D243" s="114"/>
      <c r="E243" s="114"/>
      <c r="F243" s="114"/>
      <c r="G243" s="114"/>
      <c r="H243" s="114"/>
      <c r="I243" s="30" t="s">
        <v>2722</v>
      </c>
      <c r="J243" s="30" t="s">
        <v>3252</v>
      </c>
      <c r="K243" s="30" t="s">
        <v>3097</v>
      </c>
      <c r="L243" s="156" t="s">
        <v>2544</v>
      </c>
      <c r="M243" s="30" t="s">
        <v>3142</v>
      </c>
      <c r="N243" s="114">
        <v>1500</v>
      </c>
      <c r="O243" s="114" t="s">
        <v>3199</v>
      </c>
      <c r="P243" s="114" t="s">
        <v>3294</v>
      </c>
      <c r="Q243" s="30" t="s">
        <v>3153</v>
      </c>
      <c r="R243" s="30" t="s">
        <v>3255</v>
      </c>
      <c r="S243" s="30" t="s">
        <v>3253</v>
      </c>
      <c r="T243" s="30" t="s">
        <v>3257</v>
      </c>
      <c r="U243" s="157" t="s">
        <v>3342</v>
      </c>
      <c r="V243" s="30"/>
      <c r="W243" s="30"/>
      <c r="X243" s="30" t="str">
        <f>CONCATENATE(O243,"_",P243,Q243,R243,S243,T243,U243)</f>
        <v>Library Expenses_Lost Books, Membership Fees and Television_NC066_2017/2018_O_EXP_092</v>
      </c>
      <c r="Y243" s="172" t="s">
        <v>3245</v>
      </c>
    </row>
    <row r="244" spans="1:25" x14ac:dyDescent="0.35">
      <c r="A244" s="150"/>
      <c r="B244" s="171" t="s">
        <v>2743</v>
      </c>
      <c r="C244" s="114">
        <v>2800</v>
      </c>
      <c r="D244" s="114"/>
      <c r="E244" s="114"/>
      <c r="F244" s="114"/>
      <c r="G244" s="114"/>
      <c r="H244" s="114"/>
      <c r="I244" s="30" t="s">
        <v>2722</v>
      </c>
      <c r="J244" s="30" t="s">
        <v>3252</v>
      </c>
      <c r="K244" s="30" t="s">
        <v>3097</v>
      </c>
      <c r="L244" s="156" t="s">
        <v>2544</v>
      </c>
      <c r="M244" s="30" t="s">
        <v>3135</v>
      </c>
      <c r="N244" s="140">
        <v>2800</v>
      </c>
      <c r="O244" s="140"/>
      <c r="P244" s="140"/>
      <c r="Q244" s="30"/>
      <c r="R244" s="30"/>
      <c r="S244" s="30"/>
      <c r="T244" s="30"/>
      <c r="U244" s="173"/>
      <c r="V244" s="30"/>
      <c r="W244" s="30"/>
      <c r="X244" s="30" t="str">
        <f>CONCATENATE(O244,Q244,R244,S244,T244,U244)</f>
        <v/>
      </c>
      <c r="Y244" s="172"/>
    </row>
    <row r="245" spans="1:25" ht="15" thickBot="1" x14ac:dyDescent="0.4">
      <c r="A245" s="151"/>
      <c r="B245" s="164" t="s">
        <v>3044</v>
      </c>
      <c r="C245" s="165">
        <v>36000</v>
      </c>
      <c r="D245" s="165"/>
      <c r="E245" s="165"/>
      <c r="F245" s="165"/>
      <c r="G245" s="165"/>
      <c r="H245" s="165"/>
      <c r="I245" s="166" t="s">
        <v>2722</v>
      </c>
      <c r="J245" s="166" t="s">
        <v>3252</v>
      </c>
      <c r="K245" s="166" t="s">
        <v>3097</v>
      </c>
      <c r="L245" s="167" t="s">
        <v>2544</v>
      </c>
      <c r="M245" s="166" t="s">
        <v>3135</v>
      </c>
      <c r="N245" s="165">
        <v>36000</v>
      </c>
      <c r="O245" s="165"/>
      <c r="P245" s="165"/>
      <c r="Q245" s="166"/>
      <c r="R245" s="166"/>
      <c r="S245" s="166"/>
      <c r="T245" s="166"/>
      <c r="U245" s="174"/>
      <c r="V245" s="166"/>
      <c r="W245" s="166"/>
      <c r="X245" s="166" t="str">
        <f>CONCATENATE(O245,Q245,R245,S245,T245,U245)</f>
        <v/>
      </c>
      <c r="Y245" s="170"/>
    </row>
    <row r="246" spans="1:25" ht="15" thickBot="1" x14ac:dyDescent="0.4">
      <c r="A246" s="148" t="s">
        <v>855</v>
      </c>
      <c r="B246" s="154" t="s">
        <v>3043</v>
      </c>
      <c r="C246" s="179">
        <v>26600</v>
      </c>
      <c r="D246" s="179"/>
      <c r="E246" s="179"/>
      <c r="F246" s="179"/>
      <c r="G246" s="179"/>
      <c r="H246" s="179"/>
      <c r="I246" s="180" t="s">
        <v>2722</v>
      </c>
      <c r="J246" s="180" t="s">
        <v>3249</v>
      </c>
      <c r="K246" s="180" t="s">
        <v>3098</v>
      </c>
      <c r="L246" s="181" t="s">
        <v>2544</v>
      </c>
      <c r="M246" s="180" t="s">
        <v>3135</v>
      </c>
      <c r="N246" s="179">
        <v>26600</v>
      </c>
      <c r="O246" s="179"/>
      <c r="P246" s="179" t="s">
        <v>3043</v>
      </c>
      <c r="Q246" s="180" t="s">
        <v>3153</v>
      </c>
      <c r="R246" s="180" t="s">
        <v>3255</v>
      </c>
      <c r="S246" s="180" t="s">
        <v>3253</v>
      </c>
      <c r="T246" s="180" t="s">
        <v>3257</v>
      </c>
      <c r="U246" s="182" t="s">
        <v>3343</v>
      </c>
      <c r="V246" s="180"/>
      <c r="W246" s="180"/>
      <c r="X246" s="180" t="str">
        <f>CONCATENATE(P246,Q246,R246,S246,T246,U246)</f>
        <v>Library: Programmes_NC066_2017/2018_O_EXP_093</v>
      </c>
      <c r="Y246" s="183" t="s">
        <v>3245</v>
      </c>
    </row>
    <row r="247" spans="1:25" ht="15" thickBot="1" x14ac:dyDescent="0.4">
      <c r="A247" s="101" t="s">
        <v>672</v>
      </c>
      <c r="B247" s="154" t="s">
        <v>3045</v>
      </c>
      <c r="C247" s="179">
        <v>81600</v>
      </c>
      <c r="D247" s="179"/>
      <c r="E247" s="179"/>
      <c r="F247" s="179"/>
      <c r="G247" s="179"/>
      <c r="H247" s="179"/>
      <c r="I247" s="180" t="s">
        <v>2722</v>
      </c>
      <c r="J247" s="180" t="s">
        <v>3252</v>
      </c>
      <c r="K247" s="180" t="s">
        <v>3085</v>
      </c>
      <c r="L247" s="181" t="s">
        <v>2544</v>
      </c>
      <c r="M247" s="180" t="s">
        <v>3135</v>
      </c>
      <c r="N247" s="179">
        <v>81600</v>
      </c>
      <c r="O247" s="179"/>
      <c r="P247" s="179" t="s">
        <v>3292</v>
      </c>
      <c r="Q247" s="180" t="s">
        <v>3153</v>
      </c>
      <c r="R247" s="180" t="s">
        <v>3255</v>
      </c>
      <c r="S247" s="180" t="s">
        <v>3253</v>
      </c>
      <c r="T247" s="180" t="s">
        <v>3257</v>
      </c>
      <c r="U247" s="182" t="s">
        <v>3344</v>
      </c>
      <c r="V247" s="180"/>
      <c r="W247" s="180"/>
      <c r="X247" s="180" t="str">
        <f>CONCATENATE(P247,Q247,R247,S247,T247,U247)</f>
        <v>Library: Rental of Equipment_NC066_2017/2018_O_EXP_094</v>
      </c>
      <c r="Y247" s="183" t="s">
        <v>3245</v>
      </c>
    </row>
    <row r="248" spans="1:25" ht="15" thickBot="1" x14ac:dyDescent="0.4">
      <c r="A248" s="101"/>
      <c r="B248" s="154" t="s">
        <v>2859</v>
      </c>
      <c r="C248" s="179">
        <v>24000</v>
      </c>
      <c r="D248" s="179"/>
      <c r="E248" s="179"/>
      <c r="F248" s="179"/>
      <c r="G248" s="179"/>
      <c r="H248" s="179"/>
      <c r="I248" s="180" t="s">
        <v>2722</v>
      </c>
      <c r="J248" s="180" t="s">
        <v>3252</v>
      </c>
      <c r="K248" s="180" t="s">
        <v>3099</v>
      </c>
      <c r="L248" s="181" t="s">
        <v>2544</v>
      </c>
      <c r="M248" s="180" t="s">
        <v>3135</v>
      </c>
      <c r="N248" s="179">
        <v>24000</v>
      </c>
      <c r="O248" s="179"/>
      <c r="P248" s="179" t="s">
        <v>3293</v>
      </c>
      <c r="Q248" s="180" t="s">
        <v>3153</v>
      </c>
      <c r="R248" s="180" t="s">
        <v>3255</v>
      </c>
      <c r="S248" s="180" t="s">
        <v>3253</v>
      </c>
      <c r="T248" s="180" t="s">
        <v>3257</v>
      </c>
      <c r="U248" s="182" t="s">
        <v>3345</v>
      </c>
      <c r="V248" s="180"/>
      <c r="W248" s="180"/>
      <c r="X248" s="180" t="str">
        <f>CONCATENATE(P248,Q248,R248,S248,T248,U248)</f>
        <v>Library: Newspapers_NC066_2017/2018_O_EXP_095</v>
      </c>
      <c r="Y248" s="183" t="s">
        <v>3245</v>
      </c>
    </row>
    <row r="249" spans="1:25" ht="15" thickBot="1" x14ac:dyDescent="0.4">
      <c r="A249" s="101"/>
      <c r="B249" s="164" t="s">
        <v>2916</v>
      </c>
      <c r="C249" s="165">
        <v>46000</v>
      </c>
      <c r="D249" s="165"/>
      <c r="E249" s="165"/>
      <c r="F249" s="165"/>
      <c r="G249" s="165"/>
      <c r="H249" s="165"/>
      <c r="I249" s="166" t="s">
        <v>2722</v>
      </c>
      <c r="J249" s="166" t="s">
        <v>3249</v>
      </c>
      <c r="K249" s="166" t="s">
        <v>3106</v>
      </c>
      <c r="L249" s="167" t="s">
        <v>2544</v>
      </c>
      <c r="M249" s="166" t="s">
        <v>2712</v>
      </c>
      <c r="N249" s="168">
        <v>46000</v>
      </c>
      <c r="O249" s="168" t="s">
        <v>3216</v>
      </c>
      <c r="P249" s="168"/>
      <c r="Q249" s="180" t="s">
        <v>3153</v>
      </c>
      <c r="R249" s="180" t="s">
        <v>3255</v>
      </c>
      <c r="S249" s="166" t="s">
        <v>3253</v>
      </c>
      <c r="T249" s="166" t="s">
        <v>3257</v>
      </c>
      <c r="U249" s="169" t="s">
        <v>3346</v>
      </c>
      <c r="V249" s="166"/>
      <c r="W249" s="166"/>
      <c r="X249" s="166" t="str">
        <f t="shared" si="8"/>
        <v>Licenses Vehicles_NC066_2017/2018_O_EXP_096</v>
      </c>
      <c r="Y249" s="175" t="s">
        <v>3245</v>
      </c>
    </row>
    <row r="250" spans="1:25" ht="15" thickBot="1" x14ac:dyDescent="0.4">
      <c r="A250" s="101" t="s">
        <v>415</v>
      </c>
      <c r="B250" s="154" t="s">
        <v>2856</v>
      </c>
      <c r="C250" s="179">
        <v>0</v>
      </c>
      <c r="D250" s="179"/>
      <c r="E250" s="179"/>
      <c r="F250" s="179"/>
      <c r="G250" s="179"/>
      <c r="H250" s="179"/>
      <c r="I250" s="180" t="s">
        <v>2731</v>
      </c>
      <c r="J250" s="181" t="s">
        <v>3248</v>
      </c>
      <c r="K250" s="180" t="s">
        <v>3087</v>
      </c>
      <c r="L250" s="181" t="s">
        <v>2544</v>
      </c>
      <c r="M250" s="180" t="s">
        <v>3137</v>
      </c>
      <c r="N250" s="184">
        <v>0</v>
      </c>
      <c r="O250" s="184" t="s">
        <v>3217</v>
      </c>
      <c r="P250" s="184"/>
      <c r="Q250" s="180" t="s">
        <v>3153</v>
      </c>
      <c r="R250" s="180" t="s">
        <v>3255</v>
      </c>
      <c r="S250" s="180" t="s">
        <v>3253</v>
      </c>
      <c r="T250" s="180" t="s">
        <v>3257</v>
      </c>
      <c r="U250" s="182" t="s">
        <v>3347</v>
      </c>
      <c r="V250" s="180"/>
      <c r="W250" s="180"/>
      <c r="X250" s="180" t="str">
        <f t="shared" si="8"/>
        <v>Loss on disposal of PPE_NC066_2017/2018_O_EXP_097</v>
      </c>
      <c r="Y250" s="178" t="s">
        <v>3245</v>
      </c>
    </row>
    <row r="251" spans="1:25" ht="15" thickBot="1" x14ac:dyDescent="0.4">
      <c r="A251" s="146"/>
      <c r="B251" s="154" t="s">
        <v>3030</v>
      </c>
      <c r="C251" s="179">
        <v>194000</v>
      </c>
      <c r="D251" s="179"/>
      <c r="E251" s="179"/>
      <c r="F251" s="179"/>
      <c r="G251" s="179"/>
      <c r="H251" s="179"/>
      <c r="I251" s="180" t="s">
        <v>3400</v>
      </c>
      <c r="J251" s="180" t="s">
        <v>3249</v>
      </c>
      <c r="K251" s="180" t="s">
        <v>3106</v>
      </c>
      <c r="L251" s="181" t="s">
        <v>2544</v>
      </c>
      <c r="M251" s="180" t="s">
        <v>3144</v>
      </c>
      <c r="N251" s="179">
        <v>194000</v>
      </c>
      <c r="O251" s="179" t="s">
        <v>3188</v>
      </c>
      <c r="P251" s="179" t="s">
        <v>3290</v>
      </c>
      <c r="Q251" s="180" t="s">
        <v>3153</v>
      </c>
      <c r="R251" s="180" t="s">
        <v>3255</v>
      </c>
      <c r="S251" s="180" t="s">
        <v>3253</v>
      </c>
      <c r="T251" s="180" t="s">
        <v>3257</v>
      </c>
      <c r="U251" s="182" t="s">
        <v>3348</v>
      </c>
      <c r="V251" s="180"/>
      <c r="W251" s="180"/>
      <c r="X251" s="180" t="str">
        <f>CONCATENATE(O251,"_",P251,Q251,R251,S251,T251,U251)</f>
        <v>Maintenance_Vehicles_NC066_2017/2018_O_EXP_098</v>
      </c>
      <c r="Y251" s="183" t="s">
        <v>3245</v>
      </c>
    </row>
    <row r="252" spans="1:25" ht="15" thickBot="1" x14ac:dyDescent="0.4">
      <c r="A252" s="154"/>
      <c r="B252" s="158" t="s">
        <v>3031</v>
      </c>
      <c r="C252" s="159">
        <v>4000000</v>
      </c>
      <c r="D252" s="159"/>
      <c r="E252" s="159"/>
      <c r="F252" s="159"/>
      <c r="G252" s="159"/>
      <c r="H252" s="159"/>
      <c r="I252" s="160" t="s">
        <v>3400</v>
      </c>
      <c r="J252" s="160" t="s">
        <v>3249</v>
      </c>
      <c r="K252" s="160" t="s">
        <v>3104</v>
      </c>
      <c r="L252" s="161" t="s">
        <v>2544</v>
      </c>
      <c r="M252" s="160" t="s">
        <v>3023</v>
      </c>
      <c r="N252" s="159">
        <v>4000000</v>
      </c>
      <c r="O252" s="159"/>
      <c r="P252" s="159"/>
      <c r="Q252" s="160"/>
      <c r="R252" s="160"/>
      <c r="S252" s="160"/>
      <c r="T252" s="160"/>
      <c r="U252" s="162"/>
      <c r="V252" s="160"/>
      <c r="W252" s="160"/>
      <c r="X252" s="160" t="s">
        <v>3401</v>
      </c>
      <c r="Y252" s="163" t="s">
        <v>3245</v>
      </c>
    </row>
    <row r="253" spans="1:25" ht="15" thickBot="1" x14ac:dyDescent="0.4">
      <c r="A253" s="164" t="s">
        <v>856</v>
      </c>
      <c r="B253" s="171" t="s">
        <v>3031</v>
      </c>
      <c r="C253" s="114">
        <f>160000</f>
        <v>160000</v>
      </c>
      <c r="D253" s="114"/>
      <c r="E253" s="114"/>
      <c r="F253" s="114"/>
      <c r="G253" s="114"/>
      <c r="H253" s="114"/>
      <c r="I253" s="30" t="s">
        <v>3400</v>
      </c>
      <c r="J253" s="30" t="s">
        <v>3249</v>
      </c>
      <c r="K253" s="30" t="s">
        <v>3104</v>
      </c>
      <c r="L253" s="156" t="s">
        <v>2544</v>
      </c>
      <c r="M253" s="30" t="s">
        <v>3139</v>
      </c>
      <c r="N253" s="140">
        <v>160000</v>
      </c>
      <c r="O253" s="140" t="s">
        <v>3188</v>
      </c>
      <c r="P253" s="140" t="s">
        <v>3291</v>
      </c>
      <c r="Q253" s="30" t="s">
        <v>3153</v>
      </c>
      <c r="R253" s="30" t="s">
        <v>3255</v>
      </c>
      <c r="S253" s="30" t="s">
        <v>3253</v>
      </c>
      <c r="T253" s="30" t="s">
        <v>3257</v>
      </c>
      <c r="U253" s="157" t="s">
        <v>3349</v>
      </c>
      <c r="V253" s="30"/>
      <c r="W253" s="30"/>
      <c r="X253" s="30"/>
      <c r="Y253" s="172"/>
    </row>
    <row r="254" spans="1:25" x14ac:dyDescent="0.35">
      <c r="A254" s="148" t="s">
        <v>276</v>
      </c>
      <c r="B254" s="158" t="s">
        <v>3027</v>
      </c>
      <c r="C254" s="159">
        <v>145000</v>
      </c>
      <c r="D254" s="159"/>
      <c r="E254" s="159"/>
      <c r="F254" s="159"/>
      <c r="G254" s="159"/>
      <c r="H254" s="159"/>
      <c r="I254" s="160" t="s">
        <v>3400</v>
      </c>
      <c r="J254" s="160" t="s">
        <v>3249</v>
      </c>
      <c r="K254" s="160" t="s">
        <v>3104</v>
      </c>
      <c r="L254" s="161" t="s">
        <v>2544</v>
      </c>
      <c r="M254" s="160" t="s">
        <v>3144</v>
      </c>
      <c r="N254" s="159">
        <v>145000</v>
      </c>
      <c r="O254" s="159" t="s">
        <v>3188</v>
      </c>
      <c r="P254" s="159" t="s">
        <v>3289</v>
      </c>
      <c r="Q254" s="160" t="s">
        <v>3153</v>
      </c>
      <c r="R254" s="160" t="s">
        <v>3255</v>
      </c>
      <c r="S254" s="160" t="s">
        <v>3253</v>
      </c>
      <c r="T254" s="160" t="s">
        <v>3257</v>
      </c>
      <c r="U254" s="162" t="s">
        <v>3350</v>
      </c>
      <c r="V254" s="160"/>
      <c r="W254" s="160"/>
      <c r="X254" s="160" t="str">
        <f>CONCATENATE(O254,"_",P254,Q254,R254,S254,T254,U254)</f>
        <v>Maintenance_Materials, Meters, Road Painting, Road Signs, Streetlights_NC066_2017/2018_O_EXP_100</v>
      </c>
      <c r="Y254" s="163" t="s">
        <v>3245</v>
      </c>
    </row>
    <row r="255" spans="1:25" x14ac:dyDescent="0.35">
      <c r="A255" s="101"/>
      <c r="B255" s="171" t="s">
        <v>3025</v>
      </c>
      <c r="C255" s="114">
        <v>95000</v>
      </c>
      <c r="D255" s="114"/>
      <c r="E255" s="114"/>
      <c r="F255" s="114"/>
      <c r="G255" s="114"/>
      <c r="H255" s="114"/>
      <c r="I255" s="30" t="s">
        <v>3400</v>
      </c>
      <c r="J255" s="30" t="s">
        <v>3249</v>
      </c>
      <c r="K255" s="30" t="s">
        <v>3104</v>
      </c>
      <c r="L255" s="156" t="s">
        <v>2544</v>
      </c>
      <c r="M255" s="30" t="s">
        <v>3144</v>
      </c>
      <c r="N255" s="114">
        <v>95000</v>
      </c>
      <c r="O255" s="114"/>
      <c r="P255" s="114"/>
      <c r="Q255" s="30"/>
      <c r="R255" s="30"/>
      <c r="S255" s="30"/>
      <c r="T255" s="30"/>
      <c r="U255" s="173"/>
      <c r="V255" s="30"/>
      <c r="W255" s="30"/>
      <c r="X255" s="30" t="str">
        <f>CONCATENATE(O255,Q255,R255,S255,T255,U255)</f>
        <v/>
      </c>
      <c r="Y255" s="172"/>
    </row>
    <row r="256" spans="1:25" x14ac:dyDescent="0.35">
      <c r="A256" s="101"/>
      <c r="B256" s="171" t="s">
        <v>3034</v>
      </c>
      <c r="C256" s="114">
        <v>50000</v>
      </c>
      <c r="D256" s="114"/>
      <c r="E256" s="114"/>
      <c r="F256" s="114"/>
      <c r="G256" s="114"/>
      <c r="H256" s="114"/>
      <c r="I256" s="30" t="s">
        <v>3400</v>
      </c>
      <c r="J256" s="30" t="s">
        <v>3249</v>
      </c>
      <c r="K256" s="30" t="s">
        <v>3104</v>
      </c>
      <c r="L256" s="156" t="s">
        <v>2544</v>
      </c>
      <c r="M256" s="30" t="s">
        <v>3144</v>
      </c>
      <c r="N256" s="114">
        <v>50000</v>
      </c>
      <c r="O256" s="114"/>
      <c r="P256" s="114"/>
      <c r="Q256" s="30"/>
      <c r="R256" s="30"/>
      <c r="S256" s="30"/>
      <c r="T256" s="30"/>
      <c r="U256" s="173"/>
      <c r="V256" s="30"/>
      <c r="W256" s="30"/>
      <c r="X256" s="30" t="str">
        <f>CONCATENATE(O256,Q256,R256,S256,T256,U256)</f>
        <v/>
      </c>
      <c r="Y256" s="172"/>
    </row>
    <row r="257" spans="1:25" x14ac:dyDescent="0.35">
      <c r="A257" s="101"/>
      <c r="B257" s="171" t="s">
        <v>3033</v>
      </c>
      <c r="C257" s="114">
        <v>50000</v>
      </c>
      <c r="D257" s="114"/>
      <c r="E257" s="114"/>
      <c r="F257" s="114"/>
      <c r="G257" s="114"/>
      <c r="H257" s="114"/>
      <c r="I257" s="30" t="s">
        <v>3400</v>
      </c>
      <c r="J257" s="30" t="s">
        <v>3249</v>
      </c>
      <c r="K257" s="30" t="s">
        <v>3104</v>
      </c>
      <c r="L257" s="156" t="s">
        <v>2544</v>
      </c>
      <c r="M257" s="30" t="s">
        <v>3144</v>
      </c>
      <c r="N257" s="114">
        <v>50000</v>
      </c>
      <c r="O257" s="114"/>
      <c r="P257" s="114"/>
      <c r="Q257" s="30"/>
      <c r="R257" s="30"/>
      <c r="S257" s="30"/>
      <c r="T257" s="30"/>
      <c r="U257" s="173"/>
      <c r="V257" s="30"/>
      <c r="W257" s="30"/>
      <c r="X257" s="30" t="str">
        <f>CONCATENATE(O257,Q257,R257,S257,T257,U257)</f>
        <v/>
      </c>
      <c r="Y257" s="172"/>
    </row>
    <row r="258" spans="1:25" x14ac:dyDescent="0.35">
      <c r="A258" s="146"/>
      <c r="B258" s="171" t="s">
        <v>3029</v>
      </c>
      <c r="C258" s="114">
        <v>2000000</v>
      </c>
      <c r="D258" s="114"/>
      <c r="E258" s="114"/>
      <c r="F258" s="114"/>
      <c r="G258" s="114"/>
      <c r="H258" s="114"/>
      <c r="I258" s="30" t="s">
        <v>3400</v>
      </c>
      <c r="J258" s="30" t="s">
        <v>3249</v>
      </c>
      <c r="K258" s="30" t="s">
        <v>3104</v>
      </c>
      <c r="L258" s="156" t="s">
        <v>2544</v>
      </c>
      <c r="M258" s="30" t="s">
        <v>3132</v>
      </c>
      <c r="N258" s="114">
        <v>2000000</v>
      </c>
      <c r="O258" s="114"/>
      <c r="P258" s="114"/>
      <c r="Q258" s="30"/>
      <c r="R258" s="30"/>
      <c r="S258" s="30"/>
      <c r="T258" s="30"/>
      <c r="U258" s="173"/>
      <c r="V258" s="30"/>
      <c r="W258" s="30"/>
      <c r="X258" s="30"/>
      <c r="Y258" s="172"/>
    </row>
    <row r="259" spans="1:25" ht="15" thickBot="1" x14ac:dyDescent="0.4">
      <c r="A259" s="146"/>
      <c r="B259" s="171" t="s">
        <v>3029</v>
      </c>
      <c r="C259" s="114">
        <v>50000</v>
      </c>
      <c r="D259" s="114"/>
      <c r="E259" s="114"/>
      <c r="F259" s="114"/>
      <c r="G259" s="114"/>
      <c r="H259" s="114"/>
      <c r="I259" s="30" t="s">
        <v>3400</v>
      </c>
      <c r="J259" s="30" t="s">
        <v>3249</v>
      </c>
      <c r="K259" s="30" t="s">
        <v>3104</v>
      </c>
      <c r="L259" s="156" t="s">
        <v>2544</v>
      </c>
      <c r="M259" s="30" t="s">
        <v>3144</v>
      </c>
      <c r="N259" s="114">
        <v>50000</v>
      </c>
      <c r="O259" s="114"/>
      <c r="P259" s="114"/>
      <c r="Q259" s="30"/>
      <c r="R259" s="30"/>
      <c r="S259" s="30"/>
      <c r="T259" s="30"/>
      <c r="U259" s="173"/>
      <c r="V259" s="30"/>
      <c r="W259" s="30"/>
      <c r="X259" s="30" t="str">
        <f>CONCATENATE(O259,Q259,R259,S259,T259,U259)</f>
        <v/>
      </c>
      <c r="Y259" s="172"/>
    </row>
    <row r="260" spans="1:25" x14ac:dyDescent="0.35">
      <c r="A260" s="158"/>
      <c r="B260" s="160" t="s">
        <v>3038</v>
      </c>
      <c r="C260" s="159">
        <v>15000</v>
      </c>
      <c r="D260" s="159"/>
      <c r="E260" s="159"/>
      <c r="F260" s="159"/>
      <c r="G260" s="159"/>
      <c r="H260" s="159"/>
      <c r="I260" s="160" t="s">
        <v>3400</v>
      </c>
      <c r="J260" s="160" t="s">
        <v>3248</v>
      </c>
      <c r="K260" s="160" t="s">
        <v>3087</v>
      </c>
      <c r="L260" s="161" t="s">
        <v>2544</v>
      </c>
      <c r="M260" s="160" t="s">
        <v>3144</v>
      </c>
      <c r="N260" s="176">
        <v>15000</v>
      </c>
      <c r="O260" s="176" t="s">
        <v>3188</v>
      </c>
      <c r="P260" s="176" t="s">
        <v>3288</v>
      </c>
      <c r="Q260" s="160" t="s">
        <v>3153</v>
      </c>
      <c r="R260" s="160" t="s">
        <v>3255</v>
      </c>
      <c r="S260" s="160" t="s">
        <v>3253</v>
      </c>
      <c r="T260" s="160" t="s">
        <v>3257</v>
      </c>
      <c r="U260" s="162" t="s">
        <v>3351</v>
      </c>
      <c r="V260" s="160"/>
      <c r="W260" s="160"/>
      <c r="X260" s="160" t="str">
        <f>CONCATENATE(O260,"_",P260,Q260,R260,S260,T260,U260)</f>
        <v>Maintenance_Computer Hardware &amp; Photocopiers_NC066_2017/2018_O_EXP_101</v>
      </c>
      <c r="Y260" s="163" t="s">
        <v>3245</v>
      </c>
    </row>
    <row r="261" spans="1:25" ht="15" thickBot="1" x14ac:dyDescent="0.4">
      <c r="A261" s="164"/>
      <c r="B261" s="30" t="s">
        <v>3028</v>
      </c>
      <c r="C261" s="114">
        <v>62000</v>
      </c>
      <c r="D261" s="114"/>
      <c r="E261" s="114"/>
      <c r="F261" s="114"/>
      <c r="G261" s="114"/>
      <c r="H261" s="114"/>
      <c r="I261" s="30" t="s">
        <v>3400</v>
      </c>
      <c r="J261" s="30" t="s">
        <v>3248</v>
      </c>
      <c r="K261" s="30" t="s">
        <v>3087</v>
      </c>
      <c r="L261" s="156" t="s">
        <v>2544</v>
      </c>
      <c r="M261" s="30" t="s">
        <v>3144</v>
      </c>
      <c r="N261" s="114">
        <v>62000</v>
      </c>
      <c r="O261" s="114"/>
      <c r="P261" s="114"/>
      <c r="Q261" s="30"/>
      <c r="R261" s="30"/>
      <c r="S261" s="30"/>
      <c r="T261" s="30"/>
      <c r="U261" s="173"/>
      <c r="V261" s="30"/>
      <c r="W261" s="30"/>
      <c r="X261" s="30" t="str">
        <f>CONCATENATE(O261,Q261,R261,S261,T261,U261)</f>
        <v/>
      </c>
      <c r="Y261" s="172"/>
    </row>
    <row r="262" spans="1:25" x14ac:dyDescent="0.35">
      <c r="A262" s="177"/>
      <c r="B262" s="158" t="s">
        <v>3036</v>
      </c>
      <c r="C262" s="210">
        <v>377000</v>
      </c>
      <c r="D262" s="159"/>
      <c r="E262" s="159"/>
      <c r="F262" s="159"/>
      <c r="G262" s="159"/>
      <c r="H262" s="159"/>
      <c r="I262" s="160" t="s">
        <v>3400</v>
      </c>
      <c r="J262" s="160" t="s">
        <v>3248</v>
      </c>
      <c r="K262" s="160" t="s">
        <v>3090</v>
      </c>
      <c r="L262" s="161" t="s">
        <v>2544</v>
      </c>
      <c r="M262" s="160" t="s">
        <v>3135</v>
      </c>
      <c r="N262" s="176">
        <v>12000</v>
      </c>
      <c r="O262" s="176" t="s">
        <v>3188</v>
      </c>
      <c r="P262" s="176" t="s">
        <v>3287</v>
      </c>
      <c r="Q262" s="160" t="s">
        <v>3153</v>
      </c>
      <c r="R262" s="160" t="s">
        <v>3255</v>
      </c>
      <c r="S262" s="160" t="s">
        <v>3253</v>
      </c>
      <c r="T262" s="160" t="s">
        <v>3257</v>
      </c>
      <c r="U262" s="162" t="s">
        <v>3352</v>
      </c>
      <c r="V262" s="160"/>
      <c r="W262" s="160"/>
      <c r="X262" s="160" t="str">
        <f>CONCATENATE(O262,"_",P262,Q262,R262,S262,T262,U262)</f>
        <v>Maintenance_Properties_NC066_2017/2018_O_EXP_102</v>
      </c>
      <c r="Y262" s="163" t="s">
        <v>3245</v>
      </c>
    </row>
    <row r="263" spans="1:25" ht="15" thickBot="1" x14ac:dyDescent="0.4">
      <c r="A263" s="151"/>
      <c r="B263" s="171" t="s">
        <v>3036</v>
      </c>
      <c r="C263" s="114"/>
      <c r="D263" s="114"/>
      <c r="E263" s="114"/>
      <c r="F263" s="114"/>
      <c r="G263" s="114"/>
      <c r="H263" s="114"/>
      <c r="I263" s="30" t="s">
        <v>3400</v>
      </c>
      <c r="J263" s="30" t="s">
        <v>3248</v>
      </c>
      <c r="K263" s="30" t="s">
        <v>3090</v>
      </c>
      <c r="L263" s="156" t="s">
        <v>2544</v>
      </c>
      <c r="M263" s="30" t="s">
        <v>3139</v>
      </c>
      <c r="N263" s="140">
        <f>377000-12000</f>
        <v>365000</v>
      </c>
      <c r="O263" s="140"/>
      <c r="P263" s="140"/>
      <c r="Q263" s="30"/>
      <c r="R263" s="30"/>
      <c r="S263" s="30"/>
      <c r="T263" s="30"/>
      <c r="U263" s="173"/>
      <c r="V263" s="30"/>
      <c r="W263" s="30"/>
      <c r="X263" s="30" t="str">
        <f>CONCATENATE(O263,Q263,R263,S263,T263,U263)</f>
        <v/>
      </c>
      <c r="Y263" s="172"/>
    </row>
    <row r="264" spans="1:25" x14ac:dyDescent="0.35">
      <c r="A264" s="148"/>
      <c r="B264" s="158" t="s">
        <v>3035</v>
      </c>
      <c r="C264" s="159">
        <v>127500</v>
      </c>
      <c r="D264" s="159"/>
      <c r="E264" s="159"/>
      <c r="F264" s="159"/>
      <c r="G264" s="159"/>
      <c r="H264" s="159"/>
      <c r="I264" s="160" t="s">
        <v>3400</v>
      </c>
      <c r="J264" s="160" t="s">
        <v>3248</v>
      </c>
      <c r="K264" s="160" t="s">
        <v>3104</v>
      </c>
      <c r="L264" s="161" t="s">
        <v>2544</v>
      </c>
      <c r="M264" s="160" t="s">
        <v>3135</v>
      </c>
      <c r="N264" s="176">
        <v>6000</v>
      </c>
      <c r="O264" s="176" t="s">
        <v>3188</v>
      </c>
      <c r="P264" s="176" t="s">
        <v>3286</v>
      </c>
      <c r="Q264" s="160" t="s">
        <v>3153</v>
      </c>
      <c r="R264" s="160" t="s">
        <v>3255</v>
      </c>
      <c r="S264" s="160" t="s">
        <v>3253</v>
      </c>
      <c r="T264" s="160" t="s">
        <v>3257</v>
      </c>
      <c r="U264" s="162" t="s">
        <v>3353</v>
      </c>
      <c r="V264" s="160"/>
      <c r="W264" s="160"/>
      <c r="X264" s="160" t="str">
        <f>CONCATENATE(O264,"_",P264,Q264,R264,S264,T264,U264)</f>
        <v>Maintenance_Electrical Equipment, Equipment &amp; Radios_NC066_2017/2018_O_EXP_103</v>
      </c>
      <c r="Y264" s="163" t="s">
        <v>3245</v>
      </c>
    </row>
    <row r="265" spans="1:25" x14ac:dyDescent="0.35">
      <c r="A265" s="101"/>
      <c r="B265" s="171" t="s">
        <v>3035</v>
      </c>
      <c r="C265" s="114"/>
      <c r="D265" s="114"/>
      <c r="E265" s="114"/>
      <c r="F265" s="114"/>
      <c r="G265" s="114"/>
      <c r="H265" s="114"/>
      <c r="I265" s="30" t="s">
        <v>3400</v>
      </c>
      <c r="J265" s="30" t="s">
        <v>3248</v>
      </c>
      <c r="K265" s="30" t="s">
        <v>3104</v>
      </c>
      <c r="L265" s="156" t="s">
        <v>2544</v>
      </c>
      <c r="M265" s="30" t="s">
        <v>3144</v>
      </c>
      <c r="N265" s="140">
        <v>2600</v>
      </c>
      <c r="O265" s="140"/>
      <c r="P265" s="140"/>
      <c r="Q265" s="30"/>
      <c r="R265" s="30"/>
      <c r="S265" s="30"/>
      <c r="T265" s="30"/>
      <c r="U265" s="173"/>
      <c r="V265" s="30"/>
      <c r="W265" s="30"/>
      <c r="X265" s="30" t="str">
        <f t="shared" ref="X265:X271" si="9">CONCATENATE(O265,Q265,R265,S265,T265,U265)</f>
        <v/>
      </c>
      <c r="Y265" s="172"/>
    </row>
    <row r="266" spans="1:25" x14ac:dyDescent="0.35">
      <c r="A266" s="101"/>
      <c r="B266" s="171" t="s">
        <v>3035</v>
      </c>
      <c r="C266" s="114"/>
      <c r="D266" s="114"/>
      <c r="E266" s="114"/>
      <c r="F266" s="114"/>
      <c r="G266" s="114"/>
      <c r="H266" s="114"/>
      <c r="I266" s="30" t="s">
        <v>3400</v>
      </c>
      <c r="J266" s="30" t="s">
        <v>3248</v>
      </c>
      <c r="K266" s="30" t="s">
        <v>3104</v>
      </c>
      <c r="L266" s="156" t="s">
        <v>2544</v>
      </c>
      <c r="M266" s="30" t="s">
        <v>3145</v>
      </c>
      <c r="N266" s="140">
        <v>14400</v>
      </c>
      <c r="O266" s="140"/>
      <c r="P266" s="140"/>
      <c r="Q266" s="30"/>
      <c r="R266" s="30"/>
      <c r="S266" s="30"/>
      <c r="T266" s="30"/>
      <c r="U266" s="173"/>
      <c r="V266" s="30"/>
      <c r="W266" s="30"/>
      <c r="X266" s="30" t="str">
        <f t="shared" si="9"/>
        <v/>
      </c>
      <c r="Y266" s="172"/>
    </row>
    <row r="267" spans="1:25" x14ac:dyDescent="0.35">
      <c r="A267" s="101"/>
      <c r="B267" s="171" t="s">
        <v>3035</v>
      </c>
      <c r="C267" s="114"/>
      <c r="D267" s="114"/>
      <c r="E267" s="114"/>
      <c r="F267" s="114"/>
      <c r="G267" s="114"/>
      <c r="H267" s="114"/>
      <c r="I267" s="30" t="s">
        <v>3400</v>
      </c>
      <c r="J267" s="30" t="s">
        <v>3248</v>
      </c>
      <c r="K267" s="30" t="s">
        <v>3104</v>
      </c>
      <c r="L267" s="156" t="s">
        <v>2544</v>
      </c>
      <c r="M267" s="30" t="s">
        <v>3146</v>
      </c>
      <c r="N267" s="140">
        <v>9000</v>
      </c>
      <c r="O267" s="140"/>
      <c r="P267" s="140"/>
      <c r="Q267" s="30"/>
      <c r="R267" s="30"/>
      <c r="S267" s="30"/>
      <c r="T267" s="30"/>
      <c r="U267" s="173"/>
      <c r="V267" s="30"/>
      <c r="W267" s="30"/>
      <c r="X267" s="30" t="str">
        <f t="shared" si="9"/>
        <v/>
      </c>
      <c r="Y267" s="172"/>
    </row>
    <row r="268" spans="1:25" x14ac:dyDescent="0.35">
      <c r="A268" s="101"/>
      <c r="B268" s="171" t="s">
        <v>3035</v>
      </c>
      <c r="C268" s="114"/>
      <c r="D268" s="114"/>
      <c r="E268" s="114"/>
      <c r="F268" s="114"/>
      <c r="G268" s="114"/>
      <c r="H268" s="114"/>
      <c r="I268" s="30" t="s">
        <v>3400</v>
      </c>
      <c r="J268" s="30" t="s">
        <v>3248</v>
      </c>
      <c r="K268" s="30" t="s">
        <v>3104</v>
      </c>
      <c r="L268" s="156" t="s">
        <v>2544</v>
      </c>
      <c r="M268" s="30" t="s">
        <v>2705</v>
      </c>
      <c r="N268" s="140">
        <v>5100</v>
      </c>
      <c r="O268" s="140"/>
      <c r="P268" s="140"/>
      <c r="Q268" s="30"/>
      <c r="R268" s="30"/>
      <c r="S268" s="30"/>
      <c r="T268" s="30"/>
      <c r="U268" s="173"/>
      <c r="V268" s="30"/>
      <c r="W268" s="30"/>
      <c r="X268" s="30" t="str">
        <f t="shared" si="9"/>
        <v/>
      </c>
      <c r="Y268" s="172"/>
    </row>
    <row r="269" spans="1:25" x14ac:dyDescent="0.35">
      <c r="A269" s="101"/>
      <c r="B269" s="171" t="s">
        <v>3035</v>
      </c>
      <c r="C269" s="114"/>
      <c r="D269" s="114"/>
      <c r="E269" s="114"/>
      <c r="F269" s="114"/>
      <c r="G269" s="114"/>
      <c r="H269" s="114"/>
      <c r="I269" s="30" t="s">
        <v>3400</v>
      </c>
      <c r="J269" s="30" t="s">
        <v>3248</v>
      </c>
      <c r="K269" s="30" t="s">
        <v>3104</v>
      </c>
      <c r="L269" s="156" t="s">
        <v>2544</v>
      </c>
      <c r="M269" s="30" t="s">
        <v>3139</v>
      </c>
      <c r="N269" s="140">
        <f>127500-37100</f>
        <v>90400</v>
      </c>
      <c r="O269" s="140"/>
      <c r="P269" s="140"/>
      <c r="Q269" s="30"/>
      <c r="R269" s="30"/>
      <c r="S269" s="30"/>
      <c r="T269" s="30"/>
      <c r="U269" s="173"/>
      <c r="V269" s="30"/>
      <c r="W269" s="30"/>
      <c r="X269" s="30" t="str">
        <f t="shared" si="9"/>
        <v/>
      </c>
      <c r="Y269" s="172"/>
    </row>
    <row r="270" spans="1:25" x14ac:dyDescent="0.35">
      <c r="A270" s="101"/>
      <c r="B270" s="171" t="s">
        <v>3026</v>
      </c>
      <c r="C270" s="114">
        <v>0</v>
      </c>
      <c r="D270" s="114"/>
      <c r="E270" s="114"/>
      <c r="F270" s="114"/>
      <c r="G270" s="114"/>
      <c r="H270" s="114"/>
      <c r="I270" s="30" t="s">
        <v>3400</v>
      </c>
      <c r="J270" s="30" t="s">
        <v>3248</v>
      </c>
      <c r="K270" s="30" t="s">
        <v>3104</v>
      </c>
      <c r="L270" s="156" t="s">
        <v>2544</v>
      </c>
      <c r="M270" s="30" t="s">
        <v>3137</v>
      </c>
      <c r="N270" s="140">
        <v>0</v>
      </c>
      <c r="O270" s="140"/>
      <c r="P270" s="140"/>
      <c r="Q270" s="30"/>
      <c r="R270" s="30"/>
      <c r="S270" s="30"/>
      <c r="T270" s="30"/>
      <c r="U270" s="173"/>
      <c r="V270" s="30"/>
      <c r="W270" s="30"/>
      <c r="X270" s="30" t="str">
        <f t="shared" si="9"/>
        <v/>
      </c>
      <c r="Y270" s="172"/>
    </row>
    <row r="271" spans="1:25" ht="15" thickBot="1" x14ac:dyDescent="0.4">
      <c r="A271" s="146"/>
      <c r="B271" s="171" t="s">
        <v>3057</v>
      </c>
      <c r="C271" s="114">
        <v>3000</v>
      </c>
      <c r="D271" s="114"/>
      <c r="E271" s="114"/>
      <c r="F271" s="114"/>
      <c r="G271" s="114"/>
      <c r="H271" s="114"/>
      <c r="I271" s="30" t="s">
        <v>3400</v>
      </c>
      <c r="J271" s="30" t="s">
        <v>3248</v>
      </c>
      <c r="K271" s="30" t="s">
        <v>3104</v>
      </c>
      <c r="L271" s="156" t="s">
        <v>2544</v>
      </c>
      <c r="M271" s="30" t="s">
        <v>3144</v>
      </c>
      <c r="N271" s="114">
        <v>3000</v>
      </c>
      <c r="O271" s="114"/>
      <c r="P271" s="114"/>
      <c r="Q271" s="30"/>
      <c r="R271" s="30"/>
      <c r="S271" s="30"/>
      <c r="T271" s="30"/>
      <c r="U271" s="173"/>
      <c r="V271" s="30"/>
      <c r="W271" s="30"/>
      <c r="X271" s="30" t="str">
        <f t="shared" si="9"/>
        <v/>
      </c>
      <c r="Y271" s="172"/>
    </row>
    <row r="272" spans="1:25" x14ac:dyDescent="0.35">
      <c r="A272" s="158"/>
      <c r="B272" s="160" t="s">
        <v>2858</v>
      </c>
      <c r="C272" s="159">
        <v>0</v>
      </c>
      <c r="D272" s="159"/>
      <c r="E272" s="159"/>
      <c r="F272" s="159"/>
      <c r="G272" s="159"/>
      <c r="H272" s="159"/>
      <c r="I272" s="160" t="s">
        <v>2722</v>
      </c>
      <c r="J272" s="160" t="s">
        <v>3248</v>
      </c>
      <c r="K272" s="160" t="s">
        <v>3076</v>
      </c>
      <c r="L272" s="161" t="s">
        <v>2544</v>
      </c>
      <c r="M272" s="160" t="s">
        <v>3137</v>
      </c>
      <c r="N272" s="176">
        <v>0</v>
      </c>
      <c r="O272" s="176" t="s">
        <v>3196</v>
      </c>
      <c r="P272" s="176"/>
      <c r="Q272" s="160" t="s">
        <v>3153</v>
      </c>
      <c r="R272" s="160" t="s">
        <v>3255</v>
      </c>
      <c r="S272" s="160" t="s">
        <v>3253</v>
      </c>
      <c r="T272" s="160" t="s">
        <v>3257</v>
      </c>
      <c r="U272" s="162" t="s">
        <v>3354</v>
      </c>
      <c r="V272" s="160"/>
      <c r="W272" s="160"/>
      <c r="X272" s="160" t="str">
        <f t="shared" ref="X272:X304" si="10">CONCATENATE(O272,Q272,R272,S272,T272,U272)</f>
        <v>Municipal Consumption_NC066_2017/2018_O_EXP_104</v>
      </c>
      <c r="Y272" s="163" t="s">
        <v>3245</v>
      </c>
    </row>
    <row r="273" spans="1:25" x14ac:dyDescent="0.35">
      <c r="A273" s="171" t="s">
        <v>105</v>
      </c>
      <c r="B273" s="30" t="s">
        <v>3015</v>
      </c>
      <c r="C273" s="114">
        <v>5900</v>
      </c>
      <c r="D273" s="114"/>
      <c r="E273" s="114"/>
      <c r="F273" s="114"/>
      <c r="G273" s="114"/>
      <c r="H273" s="114"/>
      <c r="I273" s="30" t="s">
        <v>2722</v>
      </c>
      <c r="J273" s="30" t="s">
        <v>3248</v>
      </c>
      <c r="K273" s="30" t="s">
        <v>3076</v>
      </c>
      <c r="L273" s="156" t="s">
        <v>2544</v>
      </c>
      <c r="M273" s="30" t="s">
        <v>3139</v>
      </c>
      <c r="N273" s="114">
        <v>5900</v>
      </c>
      <c r="O273" s="114"/>
      <c r="P273" s="114"/>
      <c r="Q273" s="30"/>
      <c r="R273" s="30"/>
      <c r="S273" s="30"/>
      <c r="T273" s="30"/>
      <c r="U273" s="173"/>
      <c r="V273" s="30"/>
      <c r="W273" s="30"/>
      <c r="X273" s="30" t="str">
        <f t="shared" si="10"/>
        <v/>
      </c>
      <c r="Y273" s="172"/>
    </row>
    <row r="274" spans="1:25" x14ac:dyDescent="0.35">
      <c r="A274" s="171" t="s">
        <v>400</v>
      </c>
      <c r="B274" s="30" t="s">
        <v>3019</v>
      </c>
      <c r="C274" s="114">
        <v>287400</v>
      </c>
      <c r="D274" s="114"/>
      <c r="E274" s="114"/>
      <c r="F274" s="114"/>
      <c r="G274" s="114"/>
      <c r="H274" s="114"/>
      <c r="I274" s="30" t="s">
        <v>2722</v>
      </c>
      <c r="J274" s="30" t="s">
        <v>3248</v>
      </c>
      <c r="K274" s="30" t="s">
        <v>3076</v>
      </c>
      <c r="L274" s="156" t="s">
        <v>2544</v>
      </c>
      <c r="M274" s="30" t="s">
        <v>3139</v>
      </c>
      <c r="N274" s="114">
        <v>287400</v>
      </c>
      <c r="O274" s="114"/>
      <c r="P274" s="114"/>
      <c r="Q274" s="30"/>
      <c r="R274" s="30"/>
      <c r="S274" s="30"/>
      <c r="T274" s="30"/>
      <c r="U274" s="173"/>
      <c r="V274" s="30"/>
      <c r="W274" s="30"/>
      <c r="X274" s="30" t="str">
        <f t="shared" si="10"/>
        <v/>
      </c>
      <c r="Y274" s="172"/>
    </row>
    <row r="275" spans="1:25" x14ac:dyDescent="0.35">
      <c r="A275" s="171" t="s">
        <v>241</v>
      </c>
      <c r="B275" s="30" t="s">
        <v>3016</v>
      </c>
      <c r="C275" s="114">
        <v>46200</v>
      </c>
      <c r="D275" s="114"/>
      <c r="E275" s="114"/>
      <c r="F275" s="114"/>
      <c r="G275" s="114"/>
      <c r="H275" s="114"/>
      <c r="I275" s="30" t="s">
        <v>2722</v>
      </c>
      <c r="J275" s="30" t="s">
        <v>3248</v>
      </c>
      <c r="K275" s="30" t="s">
        <v>3076</v>
      </c>
      <c r="L275" s="156" t="s">
        <v>2544</v>
      </c>
      <c r="M275" s="30" t="s">
        <v>3135</v>
      </c>
      <c r="N275" s="114">
        <v>46200</v>
      </c>
      <c r="O275" s="114"/>
      <c r="P275" s="114"/>
      <c r="Q275" s="30"/>
      <c r="R275" s="30"/>
      <c r="S275" s="30"/>
      <c r="T275" s="30"/>
      <c r="U275" s="173"/>
      <c r="V275" s="30"/>
      <c r="W275" s="30"/>
      <c r="X275" s="30" t="str">
        <f t="shared" si="10"/>
        <v/>
      </c>
      <c r="Y275" s="172"/>
    </row>
    <row r="276" spans="1:25" x14ac:dyDescent="0.35">
      <c r="A276" s="171"/>
      <c r="B276" s="30" t="s">
        <v>3018</v>
      </c>
      <c r="C276" s="114">
        <v>18300</v>
      </c>
      <c r="D276" s="114"/>
      <c r="E276" s="114"/>
      <c r="F276" s="114"/>
      <c r="G276" s="114"/>
      <c r="H276" s="114"/>
      <c r="I276" s="30" t="s">
        <v>2722</v>
      </c>
      <c r="J276" s="30" t="s">
        <v>3248</v>
      </c>
      <c r="K276" s="30" t="s">
        <v>3076</v>
      </c>
      <c r="L276" s="156" t="s">
        <v>2544</v>
      </c>
      <c r="M276" s="30" t="s">
        <v>3139</v>
      </c>
      <c r="N276" s="114">
        <v>18300</v>
      </c>
      <c r="O276" s="114"/>
      <c r="P276" s="114"/>
      <c r="Q276" s="30"/>
      <c r="R276" s="30"/>
      <c r="S276" s="30"/>
      <c r="T276" s="30"/>
      <c r="U276" s="173"/>
      <c r="V276" s="30"/>
      <c r="W276" s="30"/>
      <c r="X276" s="30" t="str">
        <f t="shared" si="10"/>
        <v/>
      </c>
      <c r="Y276" s="172"/>
    </row>
    <row r="277" spans="1:25" x14ac:dyDescent="0.35">
      <c r="A277" s="171" t="s">
        <v>259</v>
      </c>
      <c r="B277" s="30" t="s">
        <v>3022</v>
      </c>
      <c r="C277" s="114">
        <v>20800</v>
      </c>
      <c r="D277" s="114"/>
      <c r="E277" s="114"/>
      <c r="F277" s="114"/>
      <c r="G277" s="114"/>
      <c r="H277" s="114"/>
      <c r="I277" s="30" t="s">
        <v>2722</v>
      </c>
      <c r="J277" s="30" t="s">
        <v>3248</v>
      </c>
      <c r="K277" s="30" t="s">
        <v>3076</v>
      </c>
      <c r="L277" s="156" t="s">
        <v>2544</v>
      </c>
      <c r="M277" s="30" t="s">
        <v>3139</v>
      </c>
      <c r="N277" s="114">
        <v>20800</v>
      </c>
      <c r="O277" s="114"/>
      <c r="P277" s="114"/>
      <c r="Q277" s="30"/>
      <c r="R277" s="30"/>
      <c r="S277" s="30"/>
      <c r="T277" s="30"/>
      <c r="U277" s="173"/>
      <c r="V277" s="30"/>
      <c r="W277" s="30"/>
      <c r="X277" s="30" t="str">
        <f t="shared" si="10"/>
        <v/>
      </c>
      <c r="Y277" s="172"/>
    </row>
    <row r="278" spans="1:25" x14ac:dyDescent="0.35">
      <c r="A278" s="171"/>
      <c r="B278" s="30" t="s">
        <v>3021</v>
      </c>
      <c r="C278" s="114">
        <v>26700</v>
      </c>
      <c r="D278" s="114"/>
      <c r="E278" s="114"/>
      <c r="F278" s="114"/>
      <c r="G278" s="114"/>
      <c r="H278" s="114"/>
      <c r="I278" s="30" t="s">
        <v>2722</v>
      </c>
      <c r="J278" s="30" t="s">
        <v>3248</v>
      </c>
      <c r="K278" s="30" t="s">
        <v>3076</v>
      </c>
      <c r="L278" s="156" t="s">
        <v>2544</v>
      </c>
      <c r="M278" s="30" t="s">
        <v>3139</v>
      </c>
      <c r="N278" s="114">
        <v>26700</v>
      </c>
      <c r="O278" s="114"/>
      <c r="P278" s="114"/>
      <c r="Q278" s="30"/>
      <c r="R278" s="30"/>
      <c r="S278" s="30"/>
      <c r="T278" s="30"/>
      <c r="U278" s="173"/>
      <c r="V278" s="30"/>
      <c r="W278" s="30"/>
      <c r="X278" s="30" t="str">
        <f t="shared" si="10"/>
        <v/>
      </c>
      <c r="Y278" s="172"/>
    </row>
    <row r="279" spans="1:25" x14ac:dyDescent="0.35">
      <c r="A279" s="171"/>
      <c r="B279" s="30" t="s">
        <v>3017</v>
      </c>
      <c r="C279" s="114">
        <v>79400</v>
      </c>
      <c r="D279" s="114"/>
      <c r="E279" s="114"/>
      <c r="F279" s="114"/>
      <c r="G279" s="114"/>
      <c r="H279" s="114"/>
      <c r="I279" s="30" t="s">
        <v>2722</v>
      </c>
      <c r="J279" s="30" t="s">
        <v>3248</v>
      </c>
      <c r="K279" s="30" t="s">
        <v>3076</v>
      </c>
      <c r="L279" s="156" t="s">
        <v>2544</v>
      </c>
      <c r="M279" s="30" t="s">
        <v>3139</v>
      </c>
      <c r="N279" s="114">
        <v>79400</v>
      </c>
      <c r="O279" s="114"/>
      <c r="P279" s="114"/>
      <c r="Q279" s="30"/>
      <c r="R279" s="30"/>
      <c r="S279" s="30"/>
      <c r="T279" s="30"/>
      <c r="U279" s="173"/>
      <c r="V279" s="30"/>
      <c r="W279" s="30"/>
      <c r="X279" s="30" t="str">
        <f t="shared" si="10"/>
        <v/>
      </c>
      <c r="Y279" s="172"/>
    </row>
    <row r="280" spans="1:25" ht="15" thickBot="1" x14ac:dyDescent="0.4">
      <c r="A280" s="164"/>
      <c r="B280" s="30" t="s">
        <v>3020</v>
      </c>
      <c r="C280" s="114">
        <v>133700</v>
      </c>
      <c r="D280" s="114"/>
      <c r="E280" s="114"/>
      <c r="F280" s="114"/>
      <c r="G280" s="114"/>
      <c r="H280" s="114"/>
      <c r="I280" s="30" t="s">
        <v>2722</v>
      </c>
      <c r="J280" s="30" t="s">
        <v>3248</v>
      </c>
      <c r="K280" s="30" t="s">
        <v>3076</v>
      </c>
      <c r="L280" s="156" t="s">
        <v>2544</v>
      </c>
      <c r="M280" s="30" t="s">
        <v>3139</v>
      </c>
      <c r="N280" s="114">
        <v>133700</v>
      </c>
      <c r="O280" s="114"/>
      <c r="P280" s="114"/>
      <c r="Q280" s="30"/>
      <c r="R280" s="30"/>
      <c r="S280" s="30"/>
      <c r="T280" s="30"/>
      <c r="U280" s="173"/>
      <c r="V280" s="30"/>
      <c r="W280" s="30"/>
      <c r="X280" s="30" t="str">
        <f t="shared" si="10"/>
        <v/>
      </c>
      <c r="Y280" s="172"/>
    </row>
    <row r="281" spans="1:25" x14ac:dyDescent="0.35">
      <c r="A281" s="148"/>
      <c r="B281" s="158" t="s">
        <v>2860</v>
      </c>
      <c r="C281" s="159">
        <v>192000</v>
      </c>
      <c r="D281" s="159"/>
      <c r="E281" s="159"/>
      <c r="F281" s="159"/>
      <c r="G281" s="159"/>
      <c r="H281" s="159"/>
      <c r="I281" s="160" t="s">
        <v>2722</v>
      </c>
      <c r="J281" s="160" t="s">
        <v>3248</v>
      </c>
      <c r="K281" s="160" t="s">
        <v>3076</v>
      </c>
      <c r="L281" s="161" t="s">
        <v>2544</v>
      </c>
      <c r="M281" s="160" t="s">
        <v>3139</v>
      </c>
      <c r="N281" s="159">
        <v>192000</v>
      </c>
      <c r="O281" s="159" t="s">
        <v>3205</v>
      </c>
      <c r="P281" s="159"/>
      <c r="Q281" s="160" t="s">
        <v>3153</v>
      </c>
      <c r="R281" s="160" t="s">
        <v>3255</v>
      </c>
      <c r="S281" s="160" t="s">
        <v>3253</v>
      </c>
      <c r="T281" s="160" t="s">
        <v>3257</v>
      </c>
      <c r="U281" s="162" t="s">
        <v>3355</v>
      </c>
      <c r="V281" s="160"/>
      <c r="W281" s="160"/>
      <c r="X281" s="160" t="str">
        <f t="shared" si="10"/>
        <v>Postal Fees_NC066_2017/2018_O_EXP_105</v>
      </c>
      <c r="Y281" s="163" t="s">
        <v>3245</v>
      </c>
    </row>
    <row r="282" spans="1:25" ht="15" thickBot="1" x14ac:dyDescent="0.4">
      <c r="A282" s="101"/>
      <c r="B282" s="164" t="s">
        <v>2861</v>
      </c>
      <c r="C282" s="165">
        <v>2300</v>
      </c>
      <c r="D282" s="165"/>
      <c r="E282" s="165"/>
      <c r="F282" s="165"/>
      <c r="G282" s="165"/>
      <c r="H282" s="165"/>
      <c r="I282" s="166" t="s">
        <v>2722</v>
      </c>
      <c r="J282" s="166" t="s">
        <v>3248</v>
      </c>
      <c r="K282" s="166" t="s">
        <v>3076</v>
      </c>
      <c r="L282" s="167" t="s">
        <v>2544</v>
      </c>
      <c r="M282" s="166" t="s">
        <v>3139</v>
      </c>
      <c r="N282" s="165">
        <v>2300</v>
      </c>
      <c r="O282" s="165"/>
      <c r="P282" s="165"/>
      <c r="Q282" s="166"/>
      <c r="R282" s="166"/>
      <c r="S282" s="166"/>
      <c r="T282" s="166"/>
      <c r="U282" s="174"/>
      <c r="V282" s="166"/>
      <c r="W282" s="166"/>
      <c r="X282" s="166" t="str">
        <f t="shared" si="10"/>
        <v/>
      </c>
      <c r="Y282" s="170"/>
    </row>
    <row r="283" spans="1:25" x14ac:dyDescent="0.35">
      <c r="A283" s="101"/>
      <c r="B283" s="171" t="s">
        <v>2862</v>
      </c>
      <c r="C283" s="209">
        <v>500000</v>
      </c>
      <c r="D283" s="114"/>
      <c r="E283" s="114"/>
      <c r="F283" s="114"/>
      <c r="G283" s="114"/>
      <c r="H283" s="114"/>
      <c r="I283" s="30" t="s">
        <v>2722</v>
      </c>
      <c r="J283" s="30" t="s">
        <v>3251</v>
      </c>
      <c r="K283" s="30" t="s">
        <v>3083</v>
      </c>
      <c r="L283" s="156" t="s">
        <v>2544</v>
      </c>
      <c r="M283" s="30" t="s">
        <v>3135</v>
      </c>
      <c r="N283" s="140">
        <v>27600</v>
      </c>
      <c r="O283" s="140" t="s">
        <v>3386</v>
      </c>
      <c r="P283" s="140"/>
      <c r="Q283" s="30" t="s">
        <v>3153</v>
      </c>
      <c r="R283" s="30" t="s">
        <v>3255</v>
      </c>
      <c r="S283" s="30" t="s">
        <v>3253</v>
      </c>
      <c r="T283" s="30" t="s">
        <v>3257</v>
      </c>
      <c r="U283" s="157" t="s">
        <v>3356</v>
      </c>
      <c r="V283" s="30"/>
      <c r="W283" s="30"/>
      <c r="X283" s="30" t="str">
        <f t="shared" si="10"/>
        <v>Salga Fees_NC066_2017/2018_O_EXP_106</v>
      </c>
      <c r="Y283" s="172" t="s">
        <v>3245</v>
      </c>
    </row>
    <row r="284" spans="1:25" ht="15" thickBot="1" x14ac:dyDescent="0.4">
      <c r="A284" s="101"/>
      <c r="B284" s="164" t="s">
        <v>2862</v>
      </c>
      <c r="C284" s="165"/>
      <c r="D284" s="165"/>
      <c r="E284" s="165"/>
      <c r="F284" s="165"/>
      <c r="G284" s="165"/>
      <c r="H284" s="165"/>
      <c r="I284" s="166" t="s">
        <v>2722</v>
      </c>
      <c r="J284" s="166" t="s">
        <v>3251</v>
      </c>
      <c r="K284" s="166" t="s">
        <v>3083</v>
      </c>
      <c r="L284" s="167" t="s">
        <v>2544</v>
      </c>
      <c r="M284" s="166" t="s">
        <v>3139</v>
      </c>
      <c r="N284" s="168">
        <f>500000-27600</f>
        <v>472400</v>
      </c>
      <c r="O284" s="168"/>
      <c r="P284" s="168"/>
      <c r="Q284" s="166"/>
      <c r="R284" s="166"/>
      <c r="S284" s="166"/>
      <c r="T284" s="166"/>
      <c r="U284" s="174"/>
      <c r="V284" s="166"/>
      <c r="W284" s="166"/>
      <c r="X284" s="166" t="str">
        <f t="shared" si="10"/>
        <v/>
      </c>
      <c r="Y284" s="170"/>
    </row>
    <row r="285" spans="1:25" x14ac:dyDescent="0.35">
      <c r="A285" s="101"/>
      <c r="B285" s="171" t="s">
        <v>2864</v>
      </c>
      <c r="C285" s="114">
        <v>231000</v>
      </c>
      <c r="D285" s="114"/>
      <c r="E285" s="114"/>
      <c r="F285" s="114"/>
      <c r="G285" s="114"/>
      <c r="H285" s="114"/>
      <c r="I285" s="30" t="s">
        <v>2722</v>
      </c>
      <c r="J285" s="30" t="s">
        <v>3248</v>
      </c>
      <c r="K285" s="30" t="s">
        <v>3076</v>
      </c>
      <c r="L285" s="156" t="s">
        <v>2544</v>
      </c>
      <c r="M285" s="30" t="s">
        <v>3135</v>
      </c>
      <c r="N285" s="140">
        <v>24000</v>
      </c>
      <c r="O285" s="140" t="s">
        <v>2635</v>
      </c>
      <c r="P285" s="140"/>
      <c r="Q285" s="30" t="s">
        <v>3153</v>
      </c>
      <c r="R285" s="30" t="s">
        <v>3255</v>
      </c>
      <c r="S285" s="30" t="s">
        <v>3253</v>
      </c>
      <c r="T285" s="30" t="s">
        <v>3257</v>
      </c>
      <c r="U285" s="157" t="s">
        <v>3357</v>
      </c>
      <c r="V285" s="30"/>
      <c r="W285" s="30"/>
      <c r="X285" s="30" t="str">
        <f t="shared" si="10"/>
        <v>Stationary_NC066_2017/2018_O_EXP_107</v>
      </c>
      <c r="Y285" s="172" t="s">
        <v>3245</v>
      </c>
    </row>
    <row r="286" spans="1:25" ht="15" thickBot="1" x14ac:dyDescent="0.4">
      <c r="A286" s="101"/>
      <c r="B286" s="164" t="s">
        <v>2864</v>
      </c>
      <c r="C286" s="165"/>
      <c r="D286" s="165"/>
      <c r="E286" s="165"/>
      <c r="F286" s="165"/>
      <c r="G286" s="165"/>
      <c r="H286" s="165"/>
      <c r="I286" s="166" t="s">
        <v>2722</v>
      </c>
      <c r="J286" s="166" t="s">
        <v>3248</v>
      </c>
      <c r="K286" s="166" t="s">
        <v>3076</v>
      </c>
      <c r="L286" s="167" t="s">
        <v>2544</v>
      </c>
      <c r="M286" s="166" t="s">
        <v>3137</v>
      </c>
      <c r="N286" s="168">
        <f>231000-24000</f>
        <v>207000</v>
      </c>
      <c r="O286" s="168"/>
      <c r="P286" s="168"/>
      <c r="Q286" s="166"/>
      <c r="R286" s="166"/>
      <c r="S286" s="166"/>
      <c r="T286" s="166"/>
      <c r="U286" s="174"/>
      <c r="V286" s="166"/>
      <c r="W286" s="166"/>
      <c r="X286" s="166" t="str">
        <f t="shared" si="10"/>
        <v/>
      </c>
      <c r="Y286" s="170"/>
    </row>
    <row r="287" spans="1:25" x14ac:dyDescent="0.35">
      <c r="A287" s="101"/>
      <c r="B287" s="171" t="s">
        <v>3042</v>
      </c>
      <c r="C287" s="114">
        <v>111600</v>
      </c>
      <c r="D287" s="114"/>
      <c r="E287" s="114"/>
      <c r="F287" s="114"/>
      <c r="G287" s="114"/>
      <c r="H287" s="114"/>
      <c r="I287" s="30" t="s">
        <v>2722</v>
      </c>
      <c r="J287" s="30" t="s">
        <v>3248</v>
      </c>
      <c r="K287" s="30" t="s">
        <v>3076</v>
      </c>
      <c r="L287" s="156" t="s">
        <v>2544</v>
      </c>
      <c r="M287" s="30" t="s">
        <v>3135</v>
      </c>
      <c r="N287" s="140">
        <v>9600</v>
      </c>
      <c r="O287" s="140" t="s">
        <v>3197</v>
      </c>
      <c r="P287" s="140"/>
      <c r="Q287" s="30" t="s">
        <v>3153</v>
      </c>
      <c r="R287" s="30" t="s">
        <v>3255</v>
      </c>
      <c r="S287" s="30" t="s">
        <v>3253</v>
      </c>
      <c r="T287" s="30" t="s">
        <v>3257</v>
      </c>
      <c r="U287" s="157" t="s">
        <v>3358</v>
      </c>
      <c r="V287" s="30"/>
      <c r="W287" s="30"/>
      <c r="X287" s="30" t="str">
        <f t="shared" si="10"/>
        <v>Telephone Expenses_NC066_2017/2018_O_EXP_108</v>
      </c>
      <c r="Y287" s="172" t="s">
        <v>3245</v>
      </c>
    </row>
    <row r="288" spans="1:25" ht="15" thickBot="1" x14ac:dyDescent="0.4">
      <c r="A288" s="101"/>
      <c r="B288" s="164" t="s">
        <v>3042</v>
      </c>
      <c r="C288" s="165"/>
      <c r="D288" s="165"/>
      <c r="E288" s="165"/>
      <c r="F288" s="165"/>
      <c r="G288" s="165"/>
      <c r="H288" s="165"/>
      <c r="I288" s="166" t="s">
        <v>2722</v>
      </c>
      <c r="J288" s="166" t="s">
        <v>3248</v>
      </c>
      <c r="K288" s="166" t="s">
        <v>3076</v>
      </c>
      <c r="L288" s="167" t="s">
        <v>2544</v>
      </c>
      <c r="M288" s="166" t="s">
        <v>3137</v>
      </c>
      <c r="N288" s="168">
        <f>111600-9600</f>
        <v>102000</v>
      </c>
      <c r="O288" s="168"/>
      <c r="P288" s="168"/>
      <c r="Q288" s="166"/>
      <c r="R288" s="166"/>
      <c r="S288" s="166"/>
      <c r="T288" s="166"/>
      <c r="U288" s="174"/>
      <c r="V288" s="166"/>
      <c r="W288" s="166"/>
      <c r="X288" s="166" t="str">
        <f t="shared" si="10"/>
        <v/>
      </c>
      <c r="Y288" s="170"/>
    </row>
    <row r="289" spans="1:25" ht="15" thickBot="1" x14ac:dyDescent="0.4">
      <c r="A289" s="101"/>
      <c r="B289" s="164" t="s">
        <v>2892</v>
      </c>
      <c r="C289" s="165">
        <v>118500</v>
      </c>
      <c r="D289" s="165"/>
      <c r="E289" s="165"/>
      <c r="F289" s="165"/>
      <c r="G289" s="165"/>
      <c r="H289" s="165"/>
      <c r="I289" s="166" t="s">
        <v>2722</v>
      </c>
      <c r="J289" s="166" t="s">
        <v>3251</v>
      </c>
      <c r="K289" s="166" t="s">
        <v>3096</v>
      </c>
      <c r="L289" s="167" t="s">
        <v>2544</v>
      </c>
      <c r="M289" s="166" t="s">
        <v>3143</v>
      </c>
      <c r="N289" s="168">
        <v>118500</v>
      </c>
      <c r="O289" s="168" t="s">
        <v>3202</v>
      </c>
      <c r="P289" s="168"/>
      <c r="Q289" s="166" t="s">
        <v>3153</v>
      </c>
      <c r="R289" s="166" t="s">
        <v>3255</v>
      </c>
      <c r="S289" s="166" t="s">
        <v>3253</v>
      </c>
      <c r="T289" s="166" t="s">
        <v>3257</v>
      </c>
      <c r="U289" s="169" t="s">
        <v>3359</v>
      </c>
      <c r="V289" s="166"/>
      <c r="W289" s="166"/>
      <c r="X289" s="166" t="str">
        <f t="shared" si="10"/>
        <v>Uniforms_NC066_2017/2018_O_EXP_109</v>
      </c>
      <c r="Y289" s="175" t="s">
        <v>3245</v>
      </c>
    </row>
    <row r="290" spans="1:25" ht="15" thickBot="1" x14ac:dyDescent="0.4">
      <c r="A290" s="101"/>
      <c r="B290" s="154" t="s">
        <v>2990</v>
      </c>
      <c r="C290" s="208">
        <v>650000</v>
      </c>
      <c r="D290" s="179"/>
      <c r="E290" s="179"/>
      <c r="F290" s="179"/>
      <c r="G290" s="179"/>
      <c r="H290" s="179"/>
      <c r="I290" s="180" t="s">
        <v>2722</v>
      </c>
      <c r="J290" s="180" t="s">
        <v>3248</v>
      </c>
      <c r="K290" s="180" t="s">
        <v>3076</v>
      </c>
      <c r="L290" s="181" t="s">
        <v>2544</v>
      </c>
      <c r="M290" s="186" t="s">
        <v>3137</v>
      </c>
      <c r="N290" s="179">
        <v>650000</v>
      </c>
      <c r="O290" s="179" t="s">
        <v>3198</v>
      </c>
      <c r="P290" s="179"/>
      <c r="Q290" s="180" t="s">
        <v>3153</v>
      </c>
      <c r="R290" s="180" t="s">
        <v>3255</v>
      </c>
      <c r="S290" s="180" t="s">
        <v>3253</v>
      </c>
      <c r="T290" s="180" t="s">
        <v>3257</v>
      </c>
      <c r="U290" s="182" t="s">
        <v>3360</v>
      </c>
      <c r="V290" s="180"/>
      <c r="W290" s="180"/>
      <c r="X290" s="180" t="str">
        <f t="shared" si="10"/>
        <v>Valuation Roll Expenses_NC066_2017/2018_O_EXP_110</v>
      </c>
      <c r="Y290" s="183" t="s">
        <v>3245</v>
      </c>
    </row>
    <row r="291" spans="1:25" ht="15" thickBot="1" x14ac:dyDescent="0.4">
      <c r="A291" s="101"/>
      <c r="B291" s="158" t="s">
        <v>2985</v>
      </c>
      <c r="C291" s="159">
        <v>0</v>
      </c>
      <c r="D291" s="159"/>
      <c r="E291" s="159"/>
      <c r="F291" s="159"/>
      <c r="G291" s="159"/>
      <c r="H291" s="159"/>
      <c r="I291" s="160" t="s">
        <v>2722</v>
      </c>
      <c r="J291" s="160" t="s">
        <v>3251</v>
      </c>
      <c r="K291" s="160" t="s">
        <v>3083</v>
      </c>
      <c r="L291" s="161" t="s">
        <v>2544</v>
      </c>
      <c r="M291" s="160" t="s">
        <v>3137</v>
      </c>
      <c r="N291" s="159">
        <v>0</v>
      </c>
      <c r="O291" s="159" t="s">
        <v>3223</v>
      </c>
      <c r="P291" s="159"/>
      <c r="Q291" s="160" t="s">
        <v>3153</v>
      </c>
      <c r="R291" s="160" t="s">
        <v>3255</v>
      </c>
      <c r="S291" s="160" t="s">
        <v>3253</v>
      </c>
      <c r="T291" s="160" t="s">
        <v>3257</v>
      </c>
      <c r="U291" s="162" t="s">
        <v>3361</v>
      </c>
      <c r="V291" s="160"/>
      <c r="W291" s="160"/>
      <c r="X291" s="160" t="str">
        <f t="shared" si="10"/>
        <v>MSIG Expenses_NC066_2017/2018_O_EXP_111</v>
      </c>
      <c r="Y291" s="163" t="s">
        <v>3245</v>
      </c>
    </row>
    <row r="292" spans="1:25" ht="15" thickBot="1" x14ac:dyDescent="0.4">
      <c r="A292" s="101"/>
      <c r="B292" s="154" t="s">
        <v>3122</v>
      </c>
      <c r="C292" s="208">
        <v>5978000</v>
      </c>
      <c r="D292" s="179"/>
      <c r="E292" s="179"/>
      <c r="F292" s="179"/>
      <c r="G292" s="179"/>
      <c r="H292" s="179"/>
      <c r="I292" s="180" t="s">
        <v>2887</v>
      </c>
      <c r="J292" s="180" t="s">
        <v>3249</v>
      </c>
      <c r="K292" s="180" t="s">
        <v>3116</v>
      </c>
      <c r="L292" s="181" t="s">
        <v>2544</v>
      </c>
      <c r="M292" s="180" t="s">
        <v>3024</v>
      </c>
      <c r="N292" s="179">
        <v>5978000</v>
      </c>
      <c r="O292" s="180" t="s">
        <v>3122</v>
      </c>
      <c r="P292" s="180"/>
      <c r="Q292" s="180" t="s">
        <v>3153</v>
      </c>
      <c r="R292" s="180" t="s">
        <v>3255</v>
      </c>
      <c r="S292" s="180" t="s">
        <v>3256</v>
      </c>
      <c r="T292" s="180" t="s">
        <v>3257</v>
      </c>
      <c r="U292" s="182" t="s">
        <v>3362</v>
      </c>
      <c r="V292" s="180"/>
      <c r="W292" s="180"/>
      <c r="X292" s="190" t="str">
        <f t="shared" si="10"/>
        <v>MIG Expenses: Bulk Water Sutherland_NC066_2017/2018_C_EXP_112</v>
      </c>
      <c r="Y292" s="183">
        <v>4</v>
      </c>
    </row>
    <row r="293" spans="1:25" ht="15" thickBot="1" x14ac:dyDescent="0.4">
      <c r="A293" s="101"/>
      <c r="B293" s="154" t="s">
        <v>3120</v>
      </c>
      <c r="C293" s="179">
        <v>0</v>
      </c>
      <c r="D293" s="179"/>
      <c r="E293" s="179"/>
      <c r="F293" s="179"/>
      <c r="G293" s="179"/>
      <c r="H293" s="179"/>
      <c r="I293" s="180" t="s">
        <v>2887</v>
      </c>
      <c r="J293" s="180" t="s">
        <v>3249</v>
      </c>
      <c r="K293" s="180" t="s">
        <v>3108</v>
      </c>
      <c r="L293" s="181" t="s">
        <v>2544</v>
      </c>
      <c r="M293" s="180" t="s">
        <v>3024</v>
      </c>
      <c r="N293" s="179">
        <v>0</v>
      </c>
      <c r="O293" s="180" t="s">
        <v>3120</v>
      </c>
      <c r="P293" s="180"/>
      <c r="Q293" s="180" t="s">
        <v>3153</v>
      </c>
      <c r="R293" s="180" t="s">
        <v>3255</v>
      </c>
      <c r="S293" s="180" t="s">
        <v>3256</v>
      </c>
      <c r="T293" s="180" t="s">
        <v>3257</v>
      </c>
      <c r="U293" s="182" t="s">
        <v>3363</v>
      </c>
      <c r="V293" s="180"/>
      <c r="W293" s="180"/>
      <c r="X293" s="190" t="str">
        <f t="shared" si="10"/>
        <v>MIG Expenses: Paving Fraserburg _NC066_2017/2018_C_EXP_113</v>
      </c>
      <c r="Y293" s="183">
        <v>2</v>
      </c>
    </row>
    <row r="294" spans="1:25" ht="15" thickBot="1" x14ac:dyDescent="0.4">
      <c r="A294" s="101"/>
      <c r="B294" s="154" t="s">
        <v>3119</v>
      </c>
      <c r="C294" s="179">
        <v>0</v>
      </c>
      <c r="D294" s="179"/>
      <c r="E294" s="179"/>
      <c r="F294" s="179"/>
      <c r="G294" s="179"/>
      <c r="H294" s="179"/>
      <c r="I294" s="180" t="s">
        <v>2887</v>
      </c>
      <c r="J294" s="180" t="s">
        <v>3249</v>
      </c>
      <c r="K294" s="180" t="s">
        <v>3108</v>
      </c>
      <c r="L294" s="181" t="s">
        <v>2544</v>
      </c>
      <c r="M294" s="180" t="s">
        <v>3024</v>
      </c>
      <c r="N294" s="179">
        <v>0</v>
      </c>
      <c r="O294" s="180" t="s">
        <v>3119</v>
      </c>
      <c r="P294" s="180"/>
      <c r="Q294" s="180" t="s">
        <v>3153</v>
      </c>
      <c r="R294" s="180" t="s">
        <v>3255</v>
      </c>
      <c r="S294" s="180" t="s">
        <v>3256</v>
      </c>
      <c r="T294" s="180" t="s">
        <v>3257</v>
      </c>
      <c r="U294" s="182" t="s">
        <v>3364</v>
      </c>
      <c r="V294" s="180"/>
      <c r="W294" s="180"/>
      <c r="X294" s="190" t="str">
        <f t="shared" si="10"/>
        <v>MIG Expenses: Paving Sutherland   _NC066_2017/2018_C_EXP_114</v>
      </c>
      <c r="Y294" s="183">
        <v>4</v>
      </c>
    </row>
    <row r="295" spans="1:25" ht="15" thickBot="1" x14ac:dyDescent="0.4">
      <c r="A295" s="101"/>
      <c r="B295" s="154" t="s">
        <v>3118</v>
      </c>
      <c r="C295" s="208">
        <v>821950</v>
      </c>
      <c r="D295" s="179"/>
      <c r="E295" s="179"/>
      <c r="F295" s="179"/>
      <c r="G295" s="179"/>
      <c r="H295" s="179"/>
      <c r="I295" s="180" t="s">
        <v>2887</v>
      </c>
      <c r="J295" s="180" t="s">
        <v>3249</v>
      </c>
      <c r="K295" s="180" t="s">
        <v>3108</v>
      </c>
      <c r="L295" s="181" t="s">
        <v>2544</v>
      </c>
      <c r="M295" s="180" t="s">
        <v>3024</v>
      </c>
      <c r="N295" s="179">
        <v>821950</v>
      </c>
      <c r="O295" s="180" t="s">
        <v>3118</v>
      </c>
      <c r="P295" s="180"/>
      <c r="Q295" s="180" t="s">
        <v>3153</v>
      </c>
      <c r="R295" s="180" t="s">
        <v>3255</v>
      </c>
      <c r="S295" s="180" t="s">
        <v>3256</v>
      </c>
      <c r="T295" s="180" t="s">
        <v>3257</v>
      </c>
      <c r="U295" s="182" t="s">
        <v>3365</v>
      </c>
      <c r="V295" s="180"/>
      <c r="W295" s="180"/>
      <c r="X295" s="190" t="str">
        <f t="shared" si="10"/>
        <v>MIG Expenses: Paving Williston    _NC066_2017/2018_C_EXP_115</v>
      </c>
      <c r="Y295" s="183">
        <v>1</v>
      </c>
    </row>
    <row r="296" spans="1:25" ht="15" thickBot="1" x14ac:dyDescent="0.4">
      <c r="A296" s="101"/>
      <c r="B296" s="154" t="s">
        <v>3123</v>
      </c>
      <c r="C296" s="208">
        <v>1225050</v>
      </c>
      <c r="D296" s="179"/>
      <c r="E296" s="179"/>
      <c r="F296" s="179"/>
      <c r="G296" s="179"/>
      <c r="H296" s="179"/>
      <c r="I296" s="180" t="s">
        <v>2887</v>
      </c>
      <c r="J296" s="180" t="s">
        <v>3249</v>
      </c>
      <c r="K296" s="181" t="s">
        <v>3105</v>
      </c>
      <c r="L296" s="181" t="s">
        <v>2544</v>
      </c>
      <c r="M296" s="180" t="s">
        <v>3024</v>
      </c>
      <c r="N296" s="179">
        <v>1225050</v>
      </c>
      <c r="O296" s="180" t="s">
        <v>3123</v>
      </c>
      <c r="P296" s="180"/>
      <c r="Q296" s="180" t="s">
        <v>3153</v>
      </c>
      <c r="R296" s="180" t="s">
        <v>3255</v>
      </c>
      <c r="S296" s="180" t="s">
        <v>3256</v>
      </c>
      <c r="T296" s="180" t="s">
        <v>3257</v>
      </c>
      <c r="U296" s="182" t="s">
        <v>3366</v>
      </c>
      <c r="V296" s="180"/>
      <c r="W296" s="180"/>
      <c r="X296" s="190" t="str">
        <f t="shared" si="10"/>
        <v>MIG Expenses: Sport Facilities Sutherland_NC066_2017/2018_C_EXP_116</v>
      </c>
      <c r="Y296" s="183">
        <v>4</v>
      </c>
    </row>
    <row r="297" spans="1:25" ht="15" thickBot="1" x14ac:dyDescent="0.4">
      <c r="A297" s="101"/>
      <c r="B297" s="154" t="s">
        <v>3121</v>
      </c>
      <c r="C297" s="179">
        <v>120000</v>
      </c>
      <c r="D297" s="179"/>
      <c r="E297" s="179"/>
      <c r="F297" s="179"/>
      <c r="G297" s="179"/>
      <c r="H297" s="179"/>
      <c r="I297" s="180" t="s">
        <v>2887</v>
      </c>
      <c r="J297" s="180" t="s">
        <v>3249</v>
      </c>
      <c r="K297" s="180" t="s">
        <v>3108</v>
      </c>
      <c r="L297" s="181" t="s">
        <v>2544</v>
      </c>
      <c r="M297" s="180" t="s">
        <v>3024</v>
      </c>
      <c r="N297" s="179">
        <f>120000</f>
        <v>120000</v>
      </c>
      <c r="O297" s="180" t="s">
        <v>3121</v>
      </c>
      <c r="P297" s="180"/>
      <c r="Q297" s="180" t="s">
        <v>3153</v>
      </c>
      <c r="R297" s="180" t="s">
        <v>3255</v>
      </c>
      <c r="S297" s="180" t="s">
        <v>3256</v>
      </c>
      <c r="T297" s="180" t="s">
        <v>3257</v>
      </c>
      <c r="U297" s="182" t="s">
        <v>3367</v>
      </c>
      <c r="V297" s="180"/>
      <c r="W297" s="180"/>
      <c r="X297" s="190" t="str">
        <f t="shared" si="10"/>
        <v>MIG Expenses: Stormwater Rebelskop_NC066_2017/2018_C_EXP_117</v>
      </c>
      <c r="Y297" s="183">
        <v>4</v>
      </c>
    </row>
    <row r="298" spans="1:25" ht="15" thickBot="1" x14ac:dyDescent="0.4">
      <c r="A298" s="101"/>
      <c r="B298" s="154" t="s">
        <v>3124</v>
      </c>
      <c r="C298" s="179">
        <v>0</v>
      </c>
      <c r="D298" s="179"/>
      <c r="E298" s="179"/>
      <c r="F298" s="179"/>
      <c r="G298" s="179"/>
      <c r="H298" s="179"/>
      <c r="I298" s="180" t="s">
        <v>2887</v>
      </c>
      <c r="J298" s="180" t="s">
        <v>3249</v>
      </c>
      <c r="K298" s="180" t="s">
        <v>3116</v>
      </c>
      <c r="L298" s="181" t="s">
        <v>2544</v>
      </c>
      <c r="M298" s="180" t="s">
        <v>3024</v>
      </c>
      <c r="N298" s="184"/>
      <c r="O298" s="180" t="s">
        <v>3124</v>
      </c>
      <c r="P298" s="180"/>
      <c r="Q298" s="180" t="s">
        <v>3153</v>
      </c>
      <c r="R298" s="180" t="s">
        <v>3255</v>
      </c>
      <c r="S298" s="180" t="s">
        <v>3256</v>
      </c>
      <c r="T298" s="180" t="s">
        <v>3257</v>
      </c>
      <c r="U298" s="182" t="s">
        <v>3368</v>
      </c>
      <c r="V298" s="180"/>
      <c r="W298" s="180"/>
      <c r="X298" s="190" t="str">
        <f t="shared" si="10"/>
        <v>MIG Expenses: Water Network Sutherland_NC066_2017/2018_C_EXP_118</v>
      </c>
      <c r="Y298" s="183">
        <v>4</v>
      </c>
    </row>
    <row r="299" spans="1:25" ht="15" thickBot="1" x14ac:dyDescent="0.4">
      <c r="A299" s="101"/>
      <c r="B299" s="154" t="s">
        <v>3130</v>
      </c>
      <c r="C299" s="179">
        <v>0</v>
      </c>
      <c r="D299" s="179"/>
      <c r="E299" s="179"/>
      <c r="F299" s="179"/>
      <c r="G299" s="179"/>
      <c r="H299" s="179"/>
      <c r="I299" s="180" t="s">
        <v>2887</v>
      </c>
      <c r="J299" s="181" t="s">
        <v>3249</v>
      </c>
      <c r="K299" s="180" t="s">
        <v>3116</v>
      </c>
      <c r="L299" s="181" t="s">
        <v>2544</v>
      </c>
      <c r="M299" s="180" t="s">
        <v>2762</v>
      </c>
      <c r="N299" s="184"/>
      <c r="O299" s="180" t="s">
        <v>3130</v>
      </c>
      <c r="P299" s="180"/>
      <c r="Q299" s="180" t="s">
        <v>3153</v>
      </c>
      <c r="R299" s="180" t="s">
        <v>3255</v>
      </c>
      <c r="S299" s="180" t="s">
        <v>3256</v>
      </c>
      <c r="T299" s="180" t="s">
        <v>3257</v>
      </c>
      <c r="U299" s="182" t="s">
        <v>3369</v>
      </c>
      <c r="V299" s="180"/>
      <c r="W299" s="180"/>
      <c r="X299" s="190" t="str">
        <f t="shared" si="10"/>
        <v>Regional BIG: Bulk Water Williston_NC066_2017/2018_C_EXP_119</v>
      </c>
      <c r="Y299" s="183">
        <v>1</v>
      </c>
    </row>
    <row r="300" spans="1:25" ht="15" thickBot="1" x14ac:dyDescent="0.4">
      <c r="A300" s="101" t="s">
        <v>795</v>
      </c>
      <c r="B300" s="154" t="s">
        <v>3129</v>
      </c>
      <c r="C300" s="179">
        <v>0</v>
      </c>
      <c r="D300" s="179"/>
      <c r="E300" s="179"/>
      <c r="F300" s="179"/>
      <c r="G300" s="179"/>
      <c r="H300" s="179"/>
      <c r="I300" s="180" t="s">
        <v>3400</v>
      </c>
      <c r="J300" s="180" t="s">
        <v>3249</v>
      </c>
      <c r="K300" s="180" t="s">
        <v>3116</v>
      </c>
      <c r="L300" s="181" t="s">
        <v>2544</v>
      </c>
      <c r="M300" s="180" t="s">
        <v>3023</v>
      </c>
      <c r="N300" s="184"/>
      <c r="O300" s="180" t="s">
        <v>3129</v>
      </c>
      <c r="P300" s="180"/>
      <c r="Q300" s="180" t="s">
        <v>3153</v>
      </c>
      <c r="R300" s="180" t="s">
        <v>3255</v>
      </c>
      <c r="S300" s="180" t="s">
        <v>3253</v>
      </c>
      <c r="T300" s="180" t="s">
        <v>3257</v>
      </c>
      <c r="U300" s="182" t="s">
        <v>3370</v>
      </c>
      <c r="V300" s="180"/>
      <c r="W300" s="180"/>
      <c r="X300" s="180" t="str">
        <f t="shared" si="10"/>
        <v>Water SIG: Bulk Water Williston_NC066_2017/2018_O_EXP_120</v>
      </c>
      <c r="Y300" s="183">
        <v>1</v>
      </c>
    </row>
    <row r="301" spans="1:25" ht="15" thickBot="1" x14ac:dyDescent="0.4">
      <c r="A301" s="30"/>
      <c r="B301" s="154" t="s">
        <v>3128</v>
      </c>
      <c r="C301" s="179">
        <v>0</v>
      </c>
      <c r="D301" s="179"/>
      <c r="E301" s="179"/>
      <c r="F301" s="179"/>
      <c r="G301" s="179"/>
      <c r="H301" s="179"/>
      <c r="I301" s="180" t="s">
        <v>3400</v>
      </c>
      <c r="J301" s="180" t="s">
        <v>3249</v>
      </c>
      <c r="K301" s="180" t="s">
        <v>3107</v>
      </c>
      <c r="L301" s="181" t="s">
        <v>2544</v>
      </c>
      <c r="M301" s="180" t="s">
        <v>3133</v>
      </c>
      <c r="N301" s="184"/>
      <c r="O301" s="180" t="s">
        <v>3128</v>
      </c>
      <c r="P301" s="180"/>
      <c r="Q301" s="180" t="s">
        <v>3153</v>
      </c>
      <c r="R301" s="180" t="s">
        <v>3255</v>
      </c>
      <c r="S301" s="180" t="s">
        <v>3253</v>
      </c>
      <c r="T301" s="180" t="s">
        <v>3257</v>
      </c>
      <c r="U301" s="182" t="s">
        <v>3371</v>
      </c>
      <c r="V301" s="180"/>
      <c r="W301" s="180"/>
      <c r="X301" s="180" t="str">
        <f t="shared" si="10"/>
        <v>INEP: Electricity Network Fraserburg_NC066_2017/2018_O_EXP_121</v>
      </c>
      <c r="Y301" s="183">
        <v>2</v>
      </c>
    </row>
    <row r="302" spans="1:25" ht="15" thickBot="1" x14ac:dyDescent="0.4">
      <c r="A302" s="30"/>
      <c r="B302" s="154" t="s">
        <v>3127</v>
      </c>
      <c r="C302" s="208">
        <v>1000000</v>
      </c>
      <c r="D302" s="179"/>
      <c r="E302" s="179"/>
      <c r="F302" s="179"/>
      <c r="G302" s="179"/>
      <c r="H302" s="179"/>
      <c r="I302" s="180" t="s">
        <v>3400</v>
      </c>
      <c r="J302" s="180" t="s">
        <v>3249</v>
      </c>
      <c r="K302" s="180" t="s">
        <v>3107</v>
      </c>
      <c r="L302" s="181" t="s">
        <v>2544</v>
      </c>
      <c r="M302" s="180" t="s">
        <v>3133</v>
      </c>
      <c r="N302" s="184">
        <v>1000000</v>
      </c>
      <c r="O302" s="180" t="s">
        <v>3127</v>
      </c>
      <c r="P302" s="180"/>
      <c r="Q302" s="180" t="s">
        <v>3153</v>
      </c>
      <c r="R302" s="180" t="s">
        <v>3255</v>
      </c>
      <c r="S302" s="180" t="s">
        <v>3253</v>
      </c>
      <c r="T302" s="180" t="s">
        <v>3257</v>
      </c>
      <c r="U302" s="182" t="s">
        <v>3372</v>
      </c>
      <c r="V302" s="180"/>
      <c r="W302" s="180"/>
      <c r="X302" s="180" t="str">
        <f t="shared" si="10"/>
        <v>INEP: Houses Fraserburg_NC066_2017/2018_O_EXP_122</v>
      </c>
      <c r="Y302" s="183">
        <v>2</v>
      </c>
    </row>
    <row r="303" spans="1:25" ht="15" thickBot="1" x14ac:dyDescent="0.4">
      <c r="A303" s="30"/>
      <c r="B303" s="154" t="s">
        <v>3125</v>
      </c>
      <c r="C303" s="179"/>
      <c r="D303" s="179"/>
      <c r="E303" s="179"/>
      <c r="F303" s="179"/>
      <c r="G303" s="179"/>
      <c r="H303" s="179"/>
      <c r="I303" s="180" t="s">
        <v>3400</v>
      </c>
      <c r="J303" s="180" t="s">
        <v>3249</v>
      </c>
      <c r="K303" s="180" t="s">
        <v>3107</v>
      </c>
      <c r="L303" s="181" t="s">
        <v>2544</v>
      </c>
      <c r="M303" s="180" t="s">
        <v>3132</v>
      </c>
      <c r="N303" s="184"/>
      <c r="O303" s="180" t="s">
        <v>3125</v>
      </c>
      <c r="P303" s="180"/>
      <c r="Q303" s="180" t="s">
        <v>3153</v>
      </c>
      <c r="R303" s="180" t="s">
        <v>3255</v>
      </c>
      <c r="S303" s="180" t="s">
        <v>3253</v>
      </c>
      <c r="T303" s="180" t="s">
        <v>3257</v>
      </c>
      <c r="U303" s="182" t="s">
        <v>3373</v>
      </c>
      <c r="V303" s="180"/>
      <c r="W303" s="180"/>
      <c r="X303" s="180" t="str">
        <f t="shared" si="10"/>
        <v>Energy Efficiency Grant: Streetlighting Fraserburg_NC066_2017/2018_O_EXP_123</v>
      </c>
      <c r="Y303" s="183">
        <v>2</v>
      </c>
    </row>
    <row r="304" spans="1:25" ht="15" thickBot="1" x14ac:dyDescent="0.4">
      <c r="A304" s="30"/>
      <c r="B304" s="154" t="s">
        <v>3126</v>
      </c>
      <c r="C304" s="179"/>
      <c r="D304" s="179"/>
      <c r="E304" s="179"/>
      <c r="F304" s="179"/>
      <c r="G304" s="179"/>
      <c r="H304" s="179"/>
      <c r="I304" s="180" t="s">
        <v>3400</v>
      </c>
      <c r="J304" s="180" t="s">
        <v>3249</v>
      </c>
      <c r="K304" s="180" t="s">
        <v>3107</v>
      </c>
      <c r="L304" s="181" t="s">
        <v>2544</v>
      </c>
      <c r="M304" s="180" t="s">
        <v>3132</v>
      </c>
      <c r="N304" s="184"/>
      <c r="O304" s="180" t="s">
        <v>3126</v>
      </c>
      <c r="P304" s="180"/>
      <c r="Q304" s="180" t="s">
        <v>3153</v>
      </c>
      <c r="R304" s="180" t="s">
        <v>3255</v>
      </c>
      <c r="S304" s="180" t="s">
        <v>3253</v>
      </c>
      <c r="T304" s="180" t="s">
        <v>3257</v>
      </c>
      <c r="U304" s="182" t="s">
        <v>3374</v>
      </c>
      <c r="V304" s="180"/>
      <c r="W304" s="180"/>
      <c r="X304" s="180" t="str">
        <f t="shared" si="10"/>
        <v>Energy Efficiency Grant: Streetlighting Williston_NC066_2017/2018_O_EXP_124</v>
      </c>
      <c r="Y304" s="183">
        <v>1</v>
      </c>
    </row>
    <row r="305" spans="1:25" x14ac:dyDescent="0.35">
      <c r="A305" s="30"/>
      <c r="J305" s="113"/>
      <c r="K305" s="113"/>
      <c r="L305" s="113"/>
      <c r="N305" s="113"/>
      <c r="O305" s="113"/>
      <c r="P305" s="113"/>
      <c r="U305" s="113"/>
      <c r="Y305" s="155"/>
    </row>
    <row r="306" spans="1:25" x14ac:dyDescent="0.35">
      <c r="Y306" s="155"/>
    </row>
    <row r="307" spans="1:25" ht="15" thickBot="1" x14ac:dyDescent="0.4">
      <c r="B307" s="117" t="s">
        <v>2546</v>
      </c>
      <c r="C307" s="112">
        <f>SUM(C94:C304)</f>
        <v>70746900</v>
      </c>
      <c r="D307" s="112">
        <f>SUM(D94:D300)</f>
        <v>0</v>
      </c>
      <c r="E307" s="112">
        <f>SUM(E94:E300)</f>
        <v>0</v>
      </c>
      <c r="F307" s="112">
        <f>SUM(F94:F304)</f>
        <v>0</v>
      </c>
      <c r="G307" s="112">
        <f t="shared" ref="G307:H307" si="11">SUM(G94:G304)</f>
        <v>0</v>
      </c>
      <c r="H307" s="112">
        <f t="shared" si="11"/>
        <v>0</v>
      </c>
      <c r="N307" s="112">
        <f t="shared" ref="N307" si="12">SUM(N94:N304)</f>
        <v>70746900</v>
      </c>
      <c r="O307" s="107"/>
      <c r="P307" s="107"/>
      <c r="S307" s="130"/>
      <c r="T307" s="130"/>
      <c r="Y307" s="155"/>
    </row>
    <row r="308" spans="1:25" ht="15" thickTop="1" x14ac:dyDescent="0.35">
      <c r="Y308" s="155"/>
    </row>
    <row r="309" spans="1:25" ht="15" thickBot="1" x14ac:dyDescent="0.4">
      <c r="B309" s="117" t="s">
        <v>2674</v>
      </c>
      <c r="C309" s="112">
        <f t="shared" ref="C309:H309" si="13">+C90+C307</f>
        <v>-105600</v>
      </c>
      <c r="D309" s="112">
        <f t="shared" si="13"/>
        <v>0</v>
      </c>
      <c r="E309" s="112">
        <f t="shared" si="13"/>
        <v>0</v>
      </c>
      <c r="F309" s="112">
        <f t="shared" si="13"/>
        <v>0</v>
      </c>
      <c r="G309" s="112">
        <f t="shared" si="13"/>
        <v>0</v>
      </c>
      <c r="H309" s="112">
        <f t="shared" si="13"/>
        <v>0</v>
      </c>
      <c r="N309" s="112">
        <f>+N90+N307</f>
        <v>-94800</v>
      </c>
      <c r="O309" s="107"/>
      <c r="P309" s="107"/>
      <c r="Q309" s="107"/>
      <c r="Y309" s="155"/>
    </row>
    <row r="310" spans="1:25" ht="15" thickTop="1" x14ac:dyDescent="0.35">
      <c r="Y310" s="155"/>
    </row>
    <row r="311" spans="1:25" x14ac:dyDescent="0.35">
      <c r="D311" s="30"/>
      <c r="E311" s="30"/>
      <c r="F311" s="114"/>
      <c r="G311" s="114"/>
      <c r="H311" s="114"/>
      <c r="M311" s="130"/>
      <c r="Y311" s="155"/>
    </row>
    <row r="312" spans="1:25" x14ac:dyDescent="0.35">
      <c r="D312" s="30"/>
      <c r="E312" s="30"/>
      <c r="F312" s="140"/>
      <c r="G312" s="140"/>
      <c r="H312" s="140"/>
      <c r="Y312" s="155"/>
    </row>
    <row r="313" spans="1:25" x14ac:dyDescent="0.35">
      <c r="C313" s="130"/>
      <c r="D313" s="30"/>
      <c r="E313" s="30"/>
      <c r="F313" s="107">
        <f>+F307-F233-F234-F235-F236-F237</f>
        <v>0</v>
      </c>
      <c r="G313" s="107"/>
      <c r="H313" s="107"/>
      <c r="Y313" s="155"/>
    </row>
    <row r="314" spans="1:25" x14ac:dyDescent="0.35">
      <c r="D314" s="30"/>
      <c r="E314" s="30"/>
      <c r="F314" s="140">
        <f>-F292-F295-F296-F297</f>
        <v>0</v>
      </c>
      <c r="G314" s="140"/>
      <c r="H314" s="140"/>
      <c r="Y314" s="155"/>
    </row>
    <row r="315" spans="1:25" x14ac:dyDescent="0.35">
      <c r="G315" s="111"/>
    </row>
    <row r="317" spans="1:25" x14ac:dyDescent="0.35">
      <c r="F317" s="130"/>
      <c r="G317" s="130"/>
      <c r="H317" s="130"/>
    </row>
  </sheetData>
  <autoFilter ref="B93:D304" xr:uid="{00000000-0009-0000-0000-00001F000000}"/>
  <sortState xmlns:xlrd2="http://schemas.microsoft.com/office/spreadsheetml/2017/richdata2" ref="B93:Y112">
    <sortCondition ref="J93:J112"/>
    <sortCondition ref="K93:K112"/>
    <sortCondition ref="B93:B112"/>
  </sortState>
  <mergeCells count="1">
    <mergeCell ref="O1:U1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Footer>Page &amp;P of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3"/>
    <pageSetUpPr fitToPage="1"/>
  </sheetPr>
  <dimension ref="A1:I46"/>
  <sheetViews>
    <sheetView topLeftCell="B25" workbookViewId="0">
      <selection activeCell="E40" sqref="E40"/>
    </sheetView>
  </sheetViews>
  <sheetFormatPr defaultRowHeight="14.5" x14ac:dyDescent="0.35"/>
  <cols>
    <col min="1" max="1" width="24.7265625" hidden="1" customWidth="1"/>
    <col min="2" max="2" width="36.54296875" customWidth="1"/>
    <col min="3" max="3" width="18.7265625" customWidth="1"/>
    <col min="4" max="4" width="17" customWidth="1"/>
    <col min="5" max="5" width="16.7265625" customWidth="1"/>
    <col min="6" max="6" width="16.26953125" style="113" customWidth="1"/>
    <col min="7" max="7" width="15.7265625" style="113" customWidth="1"/>
    <col min="8" max="8" width="15.81640625" style="113" hidden="1" customWidth="1"/>
    <col min="9" max="9" width="35.453125" hidden="1" customWidth="1"/>
    <col min="10" max="10" width="16" customWidth="1"/>
  </cols>
  <sheetData>
    <row r="1" spans="1:9" ht="15" thickBot="1" x14ac:dyDescent="0.4">
      <c r="H1" s="117">
        <v>18</v>
      </c>
    </row>
    <row r="2" spans="1:9" ht="29.5" thickBot="1" x14ac:dyDescent="0.4">
      <c r="A2" s="38" t="s">
        <v>2538</v>
      </c>
      <c r="B2" s="38" t="s">
        <v>2539</v>
      </c>
      <c r="C2" s="36" t="s">
        <v>2817</v>
      </c>
      <c r="D2" s="36" t="s">
        <v>2764</v>
      </c>
      <c r="E2" s="37" t="s">
        <v>3402</v>
      </c>
      <c r="F2" s="109" t="s">
        <v>3437</v>
      </c>
      <c r="G2" s="109" t="s">
        <v>3499</v>
      </c>
      <c r="H2" s="109" t="s">
        <v>3402</v>
      </c>
      <c r="I2" s="37" t="s">
        <v>2704</v>
      </c>
    </row>
    <row r="3" spans="1:9" x14ac:dyDescent="0.35">
      <c r="A3" s="56"/>
      <c r="B3" s="56"/>
      <c r="C3" s="57"/>
      <c r="D3" s="57"/>
      <c r="E3" s="57"/>
      <c r="F3" s="110"/>
      <c r="G3" s="110"/>
      <c r="H3" s="110"/>
    </row>
    <row r="4" spans="1:9" x14ac:dyDescent="0.35">
      <c r="B4" s="28" t="s">
        <v>2673</v>
      </c>
      <c r="C4" s="2"/>
      <c r="D4" s="2"/>
      <c r="E4" s="2"/>
      <c r="F4" s="111"/>
      <c r="G4" s="111"/>
      <c r="H4" s="111"/>
    </row>
    <row r="5" spans="1:9" x14ac:dyDescent="0.35">
      <c r="A5" s="32" t="s">
        <v>162</v>
      </c>
      <c r="B5" s="131" t="s">
        <v>163</v>
      </c>
      <c r="C5" s="3">
        <v>-8087000</v>
      </c>
      <c r="D5" s="3">
        <f>+C5</f>
        <v>-8087000</v>
      </c>
      <c r="E5" s="3">
        <v>-8065000</v>
      </c>
      <c r="F5" s="89">
        <v>-8352000</v>
      </c>
      <c r="G5" s="89">
        <v>-8562000</v>
      </c>
      <c r="H5" s="89">
        <v>-8274000</v>
      </c>
      <c r="I5" s="5" t="s">
        <v>2714</v>
      </c>
    </row>
    <row r="6" spans="1:9" x14ac:dyDescent="0.35">
      <c r="A6" s="213"/>
      <c r="B6" s="5" t="s">
        <v>2762</v>
      </c>
      <c r="C6" s="3">
        <v>-20000000</v>
      </c>
      <c r="D6" s="3"/>
      <c r="E6" s="3"/>
      <c r="F6" s="89"/>
      <c r="G6" s="89"/>
      <c r="H6" s="89">
        <v>0</v>
      </c>
      <c r="I6" s="214" t="s">
        <v>2714</v>
      </c>
    </row>
    <row r="7" spans="1:9" x14ac:dyDescent="0.35">
      <c r="A7" s="8"/>
      <c r="B7" s="5" t="s">
        <v>3424</v>
      </c>
      <c r="C7" s="3">
        <v>-5000000</v>
      </c>
      <c r="D7" s="3"/>
      <c r="E7" s="3"/>
      <c r="F7" s="89"/>
      <c r="G7" s="89"/>
      <c r="H7" s="89">
        <v>-5000000</v>
      </c>
      <c r="I7" s="8"/>
    </row>
    <row r="8" spans="1:9" x14ac:dyDescent="0.35">
      <c r="A8" s="8"/>
      <c r="B8" s="66" t="s">
        <v>3023</v>
      </c>
      <c r="C8" s="3">
        <v>0</v>
      </c>
      <c r="D8" s="3"/>
      <c r="E8" s="3"/>
      <c r="F8" s="89">
        <v>-10000000</v>
      </c>
      <c r="G8" s="89"/>
      <c r="H8" s="89">
        <v>0</v>
      </c>
      <c r="I8" s="8"/>
    </row>
    <row r="9" spans="1:9" x14ac:dyDescent="0.35">
      <c r="A9" s="8"/>
      <c r="B9" s="66" t="s">
        <v>2763</v>
      </c>
      <c r="C9" s="3">
        <v>-2000000</v>
      </c>
      <c r="D9" s="3">
        <f>+C9</f>
        <v>-2000000</v>
      </c>
      <c r="E9" s="3">
        <v>0</v>
      </c>
      <c r="F9" s="89">
        <v>-2000000</v>
      </c>
      <c r="G9" s="89">
        <v>-2000000</v>
      </c>
      <c r="H9" s="89">
        <v>0</v>
      </c>
      <c r="I9" s="8"/>
    </row>
    <row r="10" spans="1:9" x14ac:dyDescent="0.35">
      <c r="A10" s="8"/>
      <c r="B10" s="8"/>
      <c r="C10" s="9"/>
      <c r="D10" s="9"/>
      <c r="E10" s="9"/>
      <c r="F10" s="114"/>
      <c r="G10" s="114"/>
      <c r="H10" s="114"/>
      <c r="I10" s="8"/>
    </row>
    <row r="12" spans="1:9" ht="15" thickBot="1" x14ac:dyDescent="0.4">
      <c r="A12" s="86" t="s">
        <v>2545</v>
      </c>
      <c r="B12" s="86" t="s">
        <v>2751</v>
      </c>
      <c r="C12" s="87">
        <f>SUM(C2:C9)</f>
        <v>-35087000</v>
      </c>
      <c r="D12" s="87">
        <f t="shared" ref="D12:H12" si="0">SUM(D2:D9)</f>
        <v>-10087000</v>
      </c>
      <c r="E12" s="87">
        <f t="shared" si="0"/>
        <v>-8065000</v>
      </c>
      <c r="F12" s="87">
        <f t="shared" si="0"/>
        <v>-20352000</v>
      </c>
      <c r="G12" s="87">
        <f t="shared" si="0"/>
        <v>-10562000</v>
      </c>
      <c r="H12" s="87">
        <f t="shared" si="0"/>
        <v>-13274000</v>
      </c>
    </row>
    <row r="13" spans="1:9" ht="15" thickTop="1" x14ac:dyDescent="0.35"/>
    <row r="14" spans="1:9" ht="15" thickBot="1" x14ac:dyDescent="0.4">
      <c r="B14" s="28" t="s">
        <v>2676</v>
      </c>
    </row>
    <row r="15" spans="1:9" x14ac:dyDescent="0.35">
      <c r="A15" s="93"/>
      <c r="B15" s="66" t="s">
        <v>2620</v>
      </c>
      <c r="C15" s="89">
        <v>8087000</v>
      </c>
      <c r="D15" s="3">
        <v>8087000</v>
      </c>
      <c r="E15" s="3">
        <v>739900</v>
      </c>
      <c r="F15" s="89"/>
      <c r="G15" s="89"/>
      <c r="H15" s="89">
        <f>-H5*0.3</f>
        <v>2482200</v>
      </c>
      <c r="I15" s="5" t="s">
        <v>3024</v>
      </c>
    </row>
    <row r="16" spans="1:9" x14ac:dyDescent="0.35">
      <c r="A16" s="132"/>
      <c r="B16" s="66" t="s">
        <v>3549</v>
      </c>
      <c r="C16" s="89"/>
      <c r="D16" s="3"/>
      <c r="E16" s="3">
        <f>8065000-739900</f>
        <v>7325100</v>
      </c>
      <c r="F16" s="89">
        <v>8352000</v>
      </c>
      <c r="G16" s="89">
        <v>8562000</v>
      </c>
      <c r="H16" s="89"/>
      <c r="I16" s="5" t="s">
        <v>3024</v>
      </c>
    </row>
    <row r="17" spans="1:9" hidden="1" x14ac:dyDescent="0.35">
      <c r="A17" s="132"/>
      <c r="B17" s="66" t="s">
        <v>3056</v>
      </c>
      <c r="C17" s="89"/>
      <c r="D17" s="3"/>
      <c r="E17" s="3"/>
      <c r="F17" s="89"/>
      <c r="G17" s="89"/>
      <c r="H17" s="89"/>
      <c r="I17" s="5" t="s">
        <v>3024</v>
      </c>
    </row>
    <row r="18" spans="1:9" hidden="1" x14ac:dyDescent="0.35">
      <c r="A18" s="132"/>
      <c r="B18" s="66" t="s">
        <v>3055</v>
      </c>
      <c r="C18" s="89"/>
      <c r="D18" s="3"/>
      <c r="E18" s="3"/>
      <c r="F18" s="89"/>
      <c r="G18" s="89"/>
      <c r="H18" s="89"/>
      <c r="I18" s="5" t="s">
        <v>3024</v>
      </c>
    </row>
    <row r="19" spans="1:9" hidden="1" x14ac:dyDescent="0.35">
      <c r="A19" s="44"/>
      <c r="B19" s="66" t="s">
        <v>2748</v>
      </c>
      <c r="C19" s="89"/>
      <c r="D19" s="3"/>
      <c r="E19" s="3"/>
      <c r="F19" s="89"/>
      <c r="G19" s="89"/>
      <c r="H19" s="89"/>
      <c r="I19" s="5"/>
    </row>
    <row r="20" spans="1:9" hidden="1" x14ac:dyDescent="0.35">
      <c r="A20" s="44"/>
      <c r="B20" s="66" t="s">
        <v>2766</v>
      </c>
      <c r="C20" s="89"/>
      <c r="D20" s="3"/>
      <c r="E20" s="3"/>
      <c r="F20" s="89"/>
      <c r="G20" s="89"/>
      <c r="H20" s="89"/>
      <c r="I20" s="5" t="s">
        <v>3024</v>
      </c>
    </row>
    <row r="21" spans="1:9" hidden="1" x14ac:dyDescent="0.35">
      <c r="A21" s="44"/>
      <c r="B21" s="66" t="s">
        <v>2767</v>
      </c>
      <c r="C21" s="89"/>
      <c r="D21" s="3"/>
      <c r="E21" s="3"/>
      <c r="F21" s="89"/>
      <c r="G21" s="89"/>
      <c r="H21" s="89"/>
      <c r="I21" s="5" t="s">
        <v>3024</v>
      </c>
    </row>
    <row r="22" spans="1:9" x14ac:dyDescent="0.35">
      <c r="A22" s="44"/>
      <c r="B22" s="66" t="s">
        <v>3425</v>
      </c>
      <c r="C22" s="89">
        <v>5000000</v>
      </c>
      <c r="D22" s="3"/>
      <c r="E22" s="3"/>
      <c r="F22" s="89"/>
      <c r="G22" s="89"/>
      <c r="H22" s="89">
        <v>5000000</v>
      </c>
      <c r="I22" s="5"/>
    </row>
    <row r="23" spans="1:9" x14ac:dyDescent="0.35">
      <c r="A23" s="44"/>
      <c r="B23" s="66" t="s">
        <v>2619</v>
      </c>
      <c r="C23" s="89">
        <v>2000000</v>
      </c>
      <c r="D23" s="3">
        <v>2000000</v>
      </c>
      <c r="E23" s="3"/>
      <c r="F23" s="89">
        <v>2000000</v>
      </c>
      <c r="G23" s="89">
        <v>2000000</v>
      </c>
      <c r="H23" s="89"/>
      <c r="I23" s="5"/>
    </row>
    <row r="24" spans="1:9" x14ac:dyDescent="0.35">
      <c r="A24" s="44"/>
      <c r="B24" s="66" t="s">
        <v>2768</v>
      </c>
      <c r="C24" s="89"/>
      <c r="D24" s="3"/>
      <c r="E24" s="3">
        <v>0</v>
      </c>
      <c r="F24" s="89">
        <v>0</v>
      </c>
      <c r="G24" s="89">
        <v>0</v>
      </c>
      <c r="H24" s="89">
        <f>-H5*0.7</f>
        <v>5791800</v>
      </c>
      <c r="I24" s="66" t="s">
        <v>3024</v>
      </c>
    </row>
    <row r="25" spans="1:9" x14ac:dyDescent="0.35">
      <c r="A25" s="44"/>
      <c r="B25" s="66" t="s">
        <v>2769</v>
      </c>
      <c r="C25" s="89">
        <v>20000000</v>
      </c>
      <c r="D25" s="3"/>
      <c r="E25" s="3">
        <v>0</v>
      </c>
      <c r="F25" s="89">
        <v>10000000</v>
      </c>
      <c r="G25" s="89">
        <v>0</v>
      </c>
      <c r="H25" s="89"/>
      <c r="I25" s="66" t="s">
        <v>2762</v>
      </c>
    </row>
    <row r="27" spans="1:9" ht="15" thickBot="1" x14ac:dyDescent="0.4">
      <c r="A27" s="86" t="s">
        <v>2546</v>
      </c>
      <c r="B27" s="86" t="s">
        <v>2752</v>
      </c>
      <c r="C27" s="87">
        <f t="shared" ref="C27:H27" si="1">SUM(C15:C25)</f>
        <v>35087000</v>
      </c>
      <c r="D27" s="87">
        <f t="shared" si="1"/>
        <v>10087000</v>
      </c>
      <c r="E27" s="87">
        <f t="shared" si="1"/>
        <v>8065000</v>
      </c>
      <c r="F27" s="112">
        <f t="shared" si="1"/>
        <v>20352000</v>
      </c>
      <c r="G27" s="112">
        <f t="shared" si="1"/>
        <v>10562000</v>
      </c>
      <c r="H27" s="112">
        <f t="shared" si="1"/>
        <v>13274000</v>
      </c>
    </row>
    <row r="28" spans="1:9" ht="15" thickTop="1" x14ac:dyDescent="0.35"/>
    <row r="29" spans="1:9" x14ac:dyDescent="0.35">
      <c r="B29" s="1" t="s">
        <v>3458</v>
      </c>
      <c r="G29" s="140"/>
    </row>
    <row r="30" spans="1:9" x14ac:dyDescent="0.35">
      <c r="B30" s="66" t="s">
        <v>3459</v>
      </c>
      <c r="C30" s="5"/>
      <c r="D30" s="5"/>
      <c r="E30" s="241">
        <v>61000</v>
      </c>
      <c r="F30" s="5">
        <v>63300</v>
      </c>
      <c r="G30" s="66">
        <v>66200</v>
      </c>
      <c r="H30" s="124"/>
      <c r="I30" s="5"/>
    </row>
    <row r="31" spans="1:9" x14ac:dyDescent="0.35">
      <c r="B31" s="5" t="s">
        <v>3442</v>
      </c>
      <c r="C31" s="5"/>
      <c r="D31" s="5"/>
      <c r="E31" s="135"/>
      <c r="F31" s="5"/>
      <c r="G31" s="66"/>
      <c r="H31" s="124"/>
      <c r="I31" s="5"/>
    </row>
    <row r="32" spans="1:9" x14ac:dyDescent="0.35">
      <c r="B32" s="5" t="s">
        <v>3443</v>
      </c>
      <c r="C32" s="5"/>
      <c r="D32" s="5"/>
      <c r="E32" s="135"/>
      <c r="F32" s="5"/>
      <c r="G32" s="66"/>
      <c r="H32" s="124"/>
      <c r="I32" s="5"/>
    </row>
    <row r="33" spans="2:9" x14ac:dyDescent="0.35">
      <c r="B33" s="5" t="s">
        <v>3547</v>
      </c>
      <c r="C33" s="5"/>
      <c r="D33" s="5"/>
      <c r="E33" s="245">
        <v>190000</v>
      </c>
      <c r="F33" s="5">
        <v>0</v>
      </c>
      <c r="G33" s="66">
        <v>0</v>
      </c>
      <c r="H33" s="124"/>
      <c r="I33" s="5"/>
    </row>
    <row r="34" spans="2:9" x14ac:dyDescent="0.35">
      <c r="B34" s="5" t="s">
        <v>3444</v>
      </c>
      <c r="C34" s="5"/>
      <c r="D34" s="5"/>
      <c r="E34" s="245"/>
      <c r="F34" s="5"/>
      <c r="G34" s="135"/>
      <c r="H34" s="124"/>
      <c r="I34" s="5"/>
    </row>
    <row r="35" spans="2:9" hidden="1" x14ac:dyDescent="0.35">
      <c r="B35" s="5" t="s">
        <v>3460</v>
      </c>
      <c r="C35" s="5"/>
      <c r="D35" s="5"/>
      <c r="E35" s="245"/>
      <c r="F35" s="5"/>
      <c r="G35" s="66"/>
      <c r="H35" s="124"/>
      <c r="I35" s="225"/>
    </row>
    <row r="36" spans="2:9" x14ac:dyDescent="0.35">
      <c r="B36" s="5" t="s">
        <v>3445</v>
      </c>
      <c r="C36" s="5"/>
      <c r="D36" s="5"/>
      <c r="E36" s="245">
        <v>15000</v>
      </c>
      <c r="F36" s="5">
        <v>0</v>
      </c>
      <c r="G36" s="66">
        <v>0</v>
      </c>
      <c r="H36" s="124"/>
      <c r="I36" s="5"/>
    </row>
    <row r="37" spans="2:9" x14ac:dyDescent="0.35">
      <c r="B37" s="5" t="s">
        <v>3446</v>
      </c>
      <c r="C37" s="5"/>
      <c r="D37" s="5"/>
      <c r="E37" s="135"/>
      <c r="F37" s="5"/>
      <c r="G37" s="66"/>
      <c r="H37" s="124"/>
      <c r="I37" s="5"/>
    </row>
    <row r="38" spans="2:9" x14ac:dyDescent="0.35">
      <c r="B38" s="5" t="s">
        <v>3548</v>
      </c>
      <c r="C38" s="5"/>
      <c r="D38" s="5"/>
      <c r="E38" s="245">
        <v>420000</v>
      </c>
      <c r="F38" s="5">
        <v>350000</v>
      </c>
      <c r="G38" s="66">
        <v>0</v>
      </c>
      <c r="H38" s="124"/>
      <c r="I38" s="5"/>
    </row>
    <row r="39" spans="2:9" x14ac:dyDescent="0.35">
      <c r="B39" s="5" t="s">
        <v>3455</v>
      </c>
      <c r="C39" s="5"/>
      <c r="D39" s="5"/>
      <c r="E39" s="135"/>
      <c r="F39" s="5"/>
      <c r="G39" s="66"/>
      <c r="H39" s="124"/>
      <c r="I39" s="5"/>
    </row>
    <row r="40" spans="2:9" x14ac:dyDescent="0.35">
      <c r="B40" s="5" t="s">
        <v>3456</v>
      </c>
      <c r="C40" s="5"/>
      <c r="D40" s="5"/>
      <c r="E40" s="241">
        <v>15000</v>
      </c>
      <c r="F40" s="5">
        <v>0</v>
      </c>
      <c r="G40" s="66">
        <v>0</v>
      </c>
      <c r="H40" s="124"/>
      <c r="I40" s="5"/>
    </row>
    <row r="41" spans="2:9" x14ac:dyDescent="0.35">
      <c r="B41" s="5" t="s">
        <v>3457</v>
      </c>
      <c r="C41" s="5"/>
      <c r="D41" s="5"/>
      <c r="E41" s="135"/>
      <c r="F41" s="5"/>
      <c r="G41" s="66"/>
      <c r="H41" s="124"/>
      <c r="I41" s="5"/>
    </row>
    <row r="42" spans="2:9" x14ac:dyDescent="0.35">
      <c r="E42" s="130"/>
      <c r="G42" s="30"/>
    </row>
    <row r="43" spans="2:9" ht="15" thickBot="1" x14ac:dyDescent="0.4">
      <c r="E43" s="212">
        <f>SUM(E30:E42)</f>
        <v>701000</v>
      </c>
      <c r="G43" s="30"/>
    </row>
    <row r="44" spans="2:9" ht="15" thickTop="1" x14ac:dyDescent="0.35"/>
    <row r="46" spans="2:9" x14ac:dyDescent="0.35">
      <c r="E46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A2A7-AFAF-4314-AD58-3864646213F2}">
  <sheetPr>
    <pageSetUpPr fitToPage="1"/>
  </sheetPr>
  <dimension ref="A1:H268"/>
  <sheetViews>
    <sheetView workbookViewId="0">
      <selection activeCell="G158" sqref="G158"/>
    </sheetView>
  </sheetViews>
  <sheetFormatPr defaultRowHeight="14.5" x14ac:dyDescent="0.35"/>
  <cols>
    <col min="1" max="1" width="32.54296875" customWidth="1"/>
    <col min="2" max="2" width="16.54296875" hidden="1" customWidth="1"/>
    <col min="3" max="3" width="14.08984375" hidden="1" customWidth="1"/>
    <col min="4" max="4" width="13.90625" hidden="1" customWidth="1"/>
    <col min="5" max="5" width="16" customWidth="1"/>
    <col min="6" max="6" width="17.7265625" style="113" customWidth="1"/>
    <col min="7" max="7" width="18.08984375" customWidth="1"/>
    <col min="8" max="8" width="19.26953125" customWidth="1"/>
  </cols>
  <sheetData>
    <row r="1" spans="1:8" ht="29.5" thickBot="1" x14ac:dyDescent="0.4">
      <c r="A1" s="120" t="s">
        <v>2806</v>
      </c>
      <c r="B1" s="109" t="s">
        <v>2754</v>
      </c>
      <c r="C1" s="121" t="s">
        <v>2764</v>
      </c>
      <c r="D1" s="109" t="s">
        <v>2765</v>
      </c>
      <c r="E1" s="109" t="s">
        <v>2817</v>
      </c>
      <c r="F1" s="109" t="s">
        <v>3402</v>
      </c>
      <c r="G1" s="109" t="s">
        <v>3437</v>
      </c>
      <c r="H1" s="109" t="s">
        <v>3462</v>
      </c>
    </row>
    <row r="2" spans="1:8" x14ac:dyDescent="0.35">
      <c r="A2" s="122"/>
      <c r="B2" s="110"/>
      <c r="C2" s="110"/>
      <c r="D2" s="110"/>
      <c r="E2" s="110"/>
      <c r="F2" s="110"/>
      <c r="G2" s="110"/>
      <c r="H2" s="113"/>
    </row>
    <row r="3" spans="1:8" x14ac:dyDescent="0.35">
      <c r="A3" s="126" t="s">
        <v>2684</v>
      </c>
      <c r="B3" s="111"/>
      <c r="C3" s="111"/>
      <c r="D3" s="111"/>
      <c r="E3" s="111"/>
      <c r="F3" s="116"/>
      <c r="G3" s="116"/>
      <c r="H3" s="113"/>
    </row>
    <row r="4" spans="1:8" x14ac:dyDescent="0.35">
      <c r="A4" s="126"/>
      <c r="B4" s="111"/>
      <c r="C4" s="111"/>
      <c r="D4" s="111"/>
      <c r="E4" s="111"/>
      <c r="F4" s="116"/>
      <c r="G4" s="116"/>
      <c r="H4" s="113"/>
    </row>
    <row r="5" spans="1:8" hidden="1" x14ac:dyDescent="0.35">
      <c r="A5" s="217" t="s">
        <v>3426</v>
      </c>
      <c r="B5" s="89"/>
      <c r="C5" s="89"/>
      <c r="D5" s="89"/>
      <c r="E5" s="89"/>
      <c r="F5" s="216"/>
      <c r="G5" s="216"/>
      <c r="H5" s="66" t="str">
        <f>VLOOKUP(A5,'Tot KPA'!A:H,8,0)</f>
        <v>Other revenue</v>
      </c>
    </row>
    <row r="6" spans="1:8" hidden="1" x14ac:dyDescent="0.35">
      <c r="A6" s="66" t="s">
        <v>2833</v>
      </c>
      <c r="B6" s="89">
        <v>0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66" t="str">
        <f>VLOOKUP(A6,'Tot KPA'!A:H,8,0)</f>
        <v>Other revenue</v>
      </c>
    </row>
    <row r="7" spans="1:8" hidden="1" x14ac:dyDescent="0.35">
      <c r="A7" s="66" t="s">
        <v>2979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66" t="str">
        <f>VLOOKUP(A7,'Tot KPA'!A:H,8,0)</f>
        <v>Other revenue</v>
      </c>
    </row>
    <row r="8" spans="1:8" hidden="1" x14ac:dyDescent="0.35">
      <c r="A8" s="66" t="s">
        <v>2834</v>
      </c>
      <c r="B8" s="89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66" t="str">
        <f>VLOOKUP(A8,'Tot KPA'!A:H,8,0)</f>
        <v>Other revenue</v>
      </c>
    </row>
    <row r="9" spans="1:8" hidden="1" x14ac:dyDescent="0.35">
      <c r="A9" s="66" t="s">
        <v>2894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66" t="str">
        <f>VLOOKUP(A9,'Tot KPA'!A:H,8,0)</f>
        <v>Rental of facilities and equipment</v>
      </c>
    </row>
    <row r="10" spans="1:8" hidden="1" x14ac:dyDescent="0.35">
      <c r="A10" s="66" t="s">
        <v>2893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66" t="str">
        <f>VLOOKUP(A10,'Tot KPA'!A:H,8,0)</f>
        <v>Rental of facilities and equipment</v>
      </c>
    </row>
    <row r="11" spans="1:8" hidden="1" x14ac:dyDescent="0.35">
      <c r="A11" s="66" t="s">
        <v>2977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66" t="str">
        <f>VLOOKUP(A11,'Tot KPA'!A:H,8,0)</f>
        <v>Other revenue</v>
      </c>
    </row>
    <row r="12" spans="1:8" hidden="1" x14ac:dyDescent="0.35">
      <c r="A12" s="66" t="s">
        <v>2981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66" t="str">
        <f>VLOOKUP(A12,'Tot KPA'!A:H,8,0)</f>
        <v xml:space="preserve">Service charges </v>
      </c>
    </row>
    <row r="13" spans="1:8" hidden="1" x14ac:dyDescent="0.35">
      <c r="A13" s="66" t="s">
        <v>2895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66" t="str">
        <f>VLOOKUP(A13,'Tot KPA'!A:H,8,0)</f>
        <v xml:space="preserve">Service charges </v>
      </c>
    </row>
    <row r="14" spans="1:8" hidden="1" x14ac:dyDescent="0.35">
      <c r="A14" s="66" t="s">
        <v>2835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66" t="e">
        <f>VLOOKUP(A14,'Tot KPA'!A:H,8,0)</f>
        <v>#N/A</v>
      </c>
    </row>
    <row r="15" spans="1:8" hidden="1" x14ac:dyDescent="0.35">
      <c r="A15" s="66" t="s">
        <v>2980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66" t="str">
        <f>VLOOKUP(A15,'Tot KPA'!A:H,8,0)</f>
        <v xml:space="preserve">Service charges </v>
      </c>
    </row>
    <row r="16" spans="1:8" hidden="1" x14ac:dyDescent="0.35">
      <c r="A16" s="66" t="s">
        <v>2949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66" t="e">
        <f>VLOOKUP(A16,'Tot KPA'!A:H,8,0)</f>
        <v>#N/A</v>
      </c>
    </row>
    <row r="17" spans="1:8" hidden="1" x14ac:dyDescent="0.35">
      <c r="A17" s="66" t="s">
        <v>2896</v>
      </c>
      <c r="B17" s="89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66" t="str">
        <f>VLOOKUP(A17,'Tot KPA'!A:H,8,0)</f>
        <v>Fines</v>
      </c>
    </row>
    <row r="18" spans="1:8" hidden="1" x14ac:dyDescent="0.35">
      <c r="A18" s="66" t="s">
        <v>2832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66" t="str">
        <f>VLOOKUP(A18,'Tot KPA'!A:H,8,0)</f>
        <v>Transfers recognised</v>
      </c>
    </row>
    <row r="19" spans="1:8" hidden="1" x14ac:dyDescent="0.35">
      <c r="A19" s="66" t="s">
        <v>2825</v>
      </c>
      <c r="B19" s="89">
        <v>0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66" t="str">
        <f>VLOOKUP(A19,'Tot KPA'!A:H,8,0)</f>
        <v>Transfers recognised</v>
      </c>
    </row>
    <row r="20" spans="1:8" hidden="1" x14ac:dyDescent="0.35">
      <c r="A20" s="66" t="s">
        <v>2826</v>
      </c>
      <c r="B20" s="89">
        <v>0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66" t="str">
        <f>VLOOKUP(A20,'Tot KPA'!A:H,8,0)</f>
        <v>Transfers recognised</v>
      </c>
    </row>
    <row r="21" spans="1:8" hidden="1" x14ac:dyDescent="0.35">
      <c r="A21" s="66" t="s">
        <v>3001</v>
      </c>
      <c r="B21" s="89">
        <v>0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66" t="str">
        <f>VLOOKUP(A21,'Tot KPA'!A:H,8,0)</f>
        <v>Transfers recognised</v>
      </c>
    </row>
    <row r="22" spans="1:8" hidden="1" x14ac:dyDescent="0.35">
      <c r="A22" s="66" t="s">
        <v>2974</v>
      </c>
      <c r="B22" s="89">
        <v>0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66" t="str">
        <f>VLOOKUP(A22,'Tot KPA'!A:H,8,0)</f>
        <v>Other revenue</v>
      </c>
    </row>
    <row r="23" spans="1:8" hidden="1" x14ac:dyDescent="0.35">
      <c r="A23" s="66" t="s">
        <v>2836</v>
      </c>
      <c r="B23" s="89">
        <v>0</v>
      </c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66" t="str">
        <f>VLOOKUP(A23,'Tot KPA'!A:H,8,0)</f>
        <v>Gains on disposal of assets</v>
      </c>
    </row>
    <row r="24" spans="1:8" hidden="1" x14ac:dyDescent="0.35">
      <c r="A24" s="66" t="s">
        <v>3002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66" t="str">
        <f>VLOOKUP(A24,'Tot KPA'!A:H,8,0)</f>
        <v>Service charges</v>
      </c>
    </row>
    <row r="25" spans="1:8" hidden="1" x14ac:dyDescent="0.35">
      <c r="A25" s="66" t="s">
        <v>2899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66" t="str">
        <f>VLOOKUP(A25,'Tot KPA'!A:H,8,0)</f>
        <v>Rental of facilities and equipment</v>
      </c>
    </row>
    <row r="26" spans="1:8" hidden="1" x14ac:dyDescent="0.35">
      <c r="A26" s="66" t="s">
        <v>2956</v>
      </c>
      <c r="B26" s="89"/>
      <c r="C26" s="89"/>
      <c r="D26" s="89"/>
      <c r="E26" s="89"/>
      <c r="F26" s="89"/>
      <c r="G26" s="89"/>
      <c r="H26" s="66" t="e">
        <f>VLOOKUP(A26,'Tot KPA'!A:H,8,0)</f>
        <v>#N/A</v>
      </c>
    </row>
    <row r="27" spans="1:8" hidden="1" x14ac:dyDescent="0.35">
      <c r="A27" s="66" t="s">
        <v>2957</v>
      </c>
      <c r="B27" s="89"/>
      <c r="C27" s="89"/>
      <c r="D27" s="89"/>
      <c r="E27" s="89"/>
      <c r="F27" s="89"/>
      <c r="G27" s="89"/>
      <c r="H27" s="66" t="str">
        <f>VLOOKUP(A27,'Tot KPA'!A:H,8,0)</f>
        <v>Property Rates</v>
      </c>
    </row>
    <row r="28" spans="1:8" hidden="1" x14ac:dyDescent="0.35">
      <c r="A28" s="66" t="s">
        <v>3419</v>
      </c>
      <c r="B28" s="89"/>
      <c r="C28" s="89"/>
      <c r="D28" s="89"/>
      <c r="E28" s="89"/>
      <c r="F28" s="89"/>
      <c r="G28" s="89"/>
      <c r="H28" s="66" t="e">
        <f>VLOOKUP(A28,'Tot KPA'!A:H,8,0)</f>
        <v>#N/A</v>
      </c>
    </row>
    <row r="29" spans="1:8" hidden="1" x14ac:dyDescent="0.35">
      <c r="A29" s="66" t="s">
        <v>2954</v>
      </c>
      <c r="B29" s="89"/>
      <c r="C29" s="89"/>
      <c r="D29" s="89"/>
      <c r="E29" s="89"/>
      <c r="F29" s="89"/>
      <c r="G29" s="89"/>
      <c r="H29" s="66" t="e">
        <f>VLOOKUP(A29,'Tot KPA'!A:H,8,0)</f>
        <v>#N/A</v>
      </c>
    </row>
    <row r="30" spans="1:8" hidden="1" x14ac:dyDescent="0.35">
      <c r="A30" s="66" t="s">
        <v>2955</v>
      </c>
      <c r="B30" s="89"/>
      <c r="C30" s="89"/>
      <c r="D30" s="89"/>
      <c r="E30" s="89"/>
      <c r="F30" s="89"/>
      <c r="G30" s="89"/>
      <c r="H30" s="66" t="e">
        <f>VLOOKUP(A30,'Tot KPA'!A:H,8,0)</f>
        <v>#N/A</v>
      </c>
    </row>
    <row r="31" spans="1:8" hidden="1" x14ac:dyDescent="0.35">
      <c r="A31" s="66" t="s">
        <v>3416</v>
      </c>
      <c r="B31" s="89"/>
      <c r="C31" s="89"/>
      <c r="D31" s="89"/>
      <c r="E31" s="89"/>
      <c r="F31" s="89"/>
      <c r="G31" s="89"/>
      <c r="H31" s="66" t="str">
        <f>VLOOKUP(A31,'Tot KPA'!A:H,8,0)</f>
        <v>Other revenue</v>
      </c>
    </row>
    <row r="32" spans="1:8" hidden="1" x14ac:dyDescent="0.35">
      <c r="A32" s="66" t="s">
        <v>2828</v>
      </c>
      <c r="B32" s="89">
        <v>0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66" t="str">
        <f>VLOOKUP(A32,'Tot KPA'!A:H,8,0)</f>
        <v>Transfers recognised</v>
      </c>
    </row>
    <row r="33" spans="1:8" hidden="1" x14ac:dyDescent="0.35">
      <c r="A33" s="66" t="s">
        <v>2965</v>
      </c>
      <c r="B33" s="89">
        <v>0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66" t="str">
        <f>VLOOKUP(A33,'Tot KPA'!A:H,8,0)</f>
        <v>Interest earned</v>
      </c>
    </row>
    <row r="34" spans="1:8" hidden="1" x14ac:dyDescent="0.35">
      <c r="A34" s="66" t="s">
        <v>2967</v>
      </c>
      <c r="B34" s="89">
        <v>0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66" t="str">
        <f>VLOOKUP(A34,'Tot KPA'!A:H,8,0)</f>
        <v>Interest earned</v>
      </c>
    </row>
    <row r="35" spans="1:8" hidden="1" x14ac:dyDescent="0.35">
      <c r="A35" s="66" t="s">
        <v>2968</v>
      </c>
      <c r="B35" s="89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66" t="str">
        <f>VLOOKUP(A35,'Tot KPA'!A:H,8,0)</f>
        <v>Interest earned</v>
      </c>
    </row>
    <row r="36" spans="1:8" hidden="1" x14ac:dyDescent="0.35">
      <c r="A36" s="66" t="s">
        <v>2966</v>
      </c>
      <c r="B36" s="89">
        <v>0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66" t="str">
        <f>VLOOKUP(A36,'Tot KPA'!A:H,8,0)</f>
        <v>Interest earned</v>
      </c>
    </row>
    <row r="37" spans="1:8" hidden="1" x14ac:dyDescent="0.35">
      <c r="A37" s="66" t="s">
        <v>2963</v>
      </c>
      <c r="B37" s="89">
        <v>0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66" t="str">
        <f>VLOOKUP(A37,'Tot KPA'!A:H,8,0)</f>
        <v>Interest earned</v>
      </c>
    </row>
    <row r="38" spans="1:8" hidden="1" x14ac:dyDescent="0.35">
      <c r="A38" s="66" t="s">
        <v>2964</v>
      </c>
      <c r="B38" s="89">
        <v>0</v>
      </c>
      <c r="C38" s="89">
        <v>0</v>
      </c>
      <c r="D38" s="89">
        <v>0</v>
      </c>
      <c r="E38" s="89">
        <v>0</v>
      </c>
      <c r="F38" s="89">
        <v>0</v>
      </c>
      <c r="G38" s="89">
        <v>0</v>
      </c>
      <c r="H38" s="66" t="str">
        <f>VLOOKUP(A38,'Tot KPA'!A:H,8,0)</f>
        <v>Interest earned</v>
      </c>
    </row>
    <row r="39" spans="1:8" hidden="1" x14ac:dyDescent="0.35">
      <c r="A39" s="66" t="s">
        <v>2838</v>
      </c>
      <c r="B39" s="89">
        <v>0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66" t="str">
        <f>VLOOKUP(A39,'Tot KPA'!A:H,8,0)</f>
        <v>Interest earned</v>
      </c>
    </row>
    <row r="40" spans="1:8" hidden="1" x14ac:dyDescent="0.35">
      <c r="A40" s="66" t="s">
        <v>2976</v>
      </c>
      <c r="B40" s="89">
        <v>0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66" t="str">
        <f>VLOOKUP(A40,'Tot KPA'!A:H,8,0)</f>
        <v>Other revenue</v>
      </c>
    </row>
    <row r="41" spans="1:8" x14ac:dyDescent="0.35">
      <c r="A41" s="66" t="s">
        <v>2889</v>
      </c>
      <c r="B41" s="89">
        <v>-500</v>
      </c>
      <c r="C41" s="89"/>
      <c r="D41" s="89">
        <v>-1690</v>
      </c>
      <c r="E41" s="89">
        <v>-1600</v>
      </c>
      <c r="F41" s="228">
        <v>-1700</v>
      </c>
      <c r="G41" s="89">
        <v>-1800</v>
      </c>
      <c r="H41" s="66" t="str">
        <f>VLOOKUP(A41,'Tot KPA'!A:H,8,0)</f>
        <v xml:space="preserve">Fines </v>
      </c>
    </row>
    <row r="42" spans="1:8" x14ac:dyDescent="0.35">
      <c r="A42" s="66" t="s">
        <v>2888</v>
      </c>
      <c r="B42" s="89">
        <v>-1667000</v>
      </c>
      <c r="C42" s="89"/>
      <c r="D42" s="89">
        <v>-1497000</v>
      </c>
      <c r="E42" s="89">
        <v>-1497000</v>
      </c>
      <c r="F42" s="228">
        <v>-1667000</v>
      </c>
      <c r="G42" s="89">
        <f>-1667000-90300</f>
        <v>-1757300</v>
      </c>
      <c r="H42" s="66" t="str">
        <f>VLOOKUP(A42,'Tot KPA'!A:H,8,0)</f>
        <v>Transfers recognised</v>
      </c>
    </row>
    <row r="43" spans="1:8" ht="29" x14ac:dyDescent="0.35">
      <c r="A43" s="66" t="s">
        <v>2982</v>
      </c>
      <c r="B43" s="89">
        <v>-8000</v>
      </c>
      <c r="C43" s="89"/>
      <c r="D43" s="89">
        <v>-9020</v>
      </c>
      <c r="E43" s="89">
        <v>-4800</v>
      </c>
      <c r="F43" s="228">
        <v>-1000</v>
      </c>
      <c r="G43" s="89">
        <v>-1000</v>
      </c>
      <c r="H43" s="229" t="str">
        <f>VLOOKUP(A43,'Tot KPA'!A:H,8,0)</f>
        <v>Rental of facilities and equipment</v>
      </c>
    </row>
    <row r="44" spans="1:8" x14ac:dyDescent="0.35">
      <c r="A44" s="66" t="s">
        <v>2839</v>
      </c>
      <c r="B44" s="89">
        <v>-500</v>
      </c>
      <c r="C44" s="89"/>
      <c r="D44" s="89">
        <v>-590</v>
      </c>
      <c r="E44" s="89">
        <v>-1300</v>
      </c>
      <c r="F44" s="228">
        <v>-1400</v>
      </c>
      <c r="G44" s="89">
        <v>-1500</v>
      </c>
      <c r="H44" s="66" t="str">
        <f>VLOOKUP(A44,'Tot KPA'!A:H,8,0)</f>
        <v>Other revenue</v>
      </c>
    </row>
    <row r="45" spans="1:8" hidden="1" x14ac:dyDescent="0.35">
      <c r="A45" s="66" t="s">
        <v>2824</v>
      </c>
      <c r="B45" s="89">
        <v>0</v>
      </c>
      <c r="C45" s="89">
        <v>0</v>
      </c>
      <c r="D45" s="89">
        <v>0</v>
      </c>
      <c r="E45" s="89">
        <v>0</v>
      </c>
      <c r="F45" s="228">
        <v>0</v>
      </c>
      <c r="G45" s="89">
        <v>0</v>
      </c>
      <c r="H45" s="66" t="str">
        <f>VLOOKUP(A45,'Tot KPA'!A:H,8,0)</f>
        <v>Other revenue</v>
      </c>
    </row>
    <row r="46" spans="1:8" hidden="1" x14ac:dyDescent="0.35">
      <c r="A46" s="66" t="s">
        <v>3046</v>
      </c>
      <c r="B46" s="89">
        <v>0</v>
      </c>
      <c r="C46" s="89">
        <v>0</v>
      </c>
      <c r="D46" s="89">
        <v>0</v>
      </c>
      <c r="E46" s="89">
        <v>0</v>
      </c>
      <c r="F46" s="228">
        <v>0</v>
      </c>
      <c r="G46" s="89">
        <v>0</v>
      </c>
      <c r="H46" s="66" t="str">
        <f>VLOOKUP(A46,'Tot KPA'!A:H,8,0)</f>
        <v>Agency services</v>
      </c>
    </row>
    <row r="47" spans="1:8" hidden="1" x14ac:dyDescent="0.35">
      <c r="A47" s="66" t="s">
        <v>2827</v>
      </c>
      <c r="B47" s="89">
        <v>0</v>
      </c>
      <c r="C47" s="89">
        <v>0</v>
      </c>
      <c r="D47" s="89">
        <v>0</v>
      </c>
      <c r="E47" s="89">
        <v>0</v>
      </c>
      <c r="F47" s="228">
        <v>0</v>
      </c>
      <c r="G47" s="89">
        <v>0</v>
      </c>
      <c r="H47" s="66" t="str">
        <f>VLOOKUP(A47,'Tot KPA'!A:H,8,0)</f>
        <v>Transfers recognised</v>
      </c>
    </row>
    <row r="48" spans="1:8" hidden="1" x14ac:dyDescent="0.35">
      <c r="A48" s="66" t="s">
        <v>2829</v>
      </c>
      <c r="B48" s="89">
        <v>0</v>
      </c>
      <c r="C48" s="89">
        <v>0</v>
      </c>
      <c r="D48" s="89">
        <v>0</v>
      </c>
      <c r="E48" s="89">
        <v>0</v>
      </c>
      <c r="F48" s="228">
        <v>0</v>
      </c>
      <c r="G48" s="89">
        <v>0</v>
      </c>
      <c r="H48" s="66" t="str">
        <f>VLOOKUP(A48,'Tot KPA'!A:H,8,0)</f>
        <v>Transfers recognised</v>
      </c>
    </row>
    <row r="49" spans="1:8" hidden="1" x14ac:dyDescent="0.35">
      <c r="A49" s="66" t="s">
        <v>3415</v>
      </c>
      <c r="B49" s="89">
        <v>46200</v>
      </c>
      <c r="C49" s="89"/>
      <c r="D49" s="89">
        <v>46827</v>
      </c>
      <c r="E49" s="89"/>
      <c r="F49" s="228"/>
      <c r="G49" s="89"/>
      <c r="H49" s="66" t="str">
        <f>VLOOKUP(A49,'Tot KPA'!A:H,8,0)</f>
        <v xml:space="preserve">Service charges </v>
      </c>
    </row>
    <row r="50" spans="1:8" hidden="1" x14ac:dyDescent="0.35">
      <c r="A50" s="66" t="s">
        <v>3484</v>
      </c>
      <c r="B50" s="89"/>
      <c r="C50" s="89"/>
      <c r="D50" s="89"/>
      <c r="E50" s="89"/>
      <c r="F50" s="228"/>
      <c r="G50" s="89"/>
      <c r="H50" s="66" t="str">
        <f>VLOOKUP(A50,'Tot KPA'!A:H,8,0)</f>
        <v xml:space="preserve">Service charges </v>
      </c>
    </row>
    <row r="51" spans="1:8" hidden="1" x14ac:dyDescent="0.35">
      <c r="A51" s="66" t="s">
        <v>3480</v>
      </c>
      <c r="B51" s="89"/>
      <c r="C51" s="89"/>
      <c r="D51" s="89"/>
      <c r="E51" s="89"/>
      <c r="F51" s="228"/>
      <c r="G51" s="89"/>
      <c r="H51" s="66" t="str">
        <f>VLOOKUP(A51,'Tot KPA'!A:H,8,0)</f>
        <v xml:space="preserve">Service charges </v>
      </c>
    </row>
    <row r="52" spans="1:8" x14ac:dyDescent="0.35">
      <c r="A52" s="66" t="s">
        <v>3485</v>
      </c>
      <c r="B52" s="89"/>
      <c r="C52" s="89"/>
      <c r="D52" s="89"/>
      <c r="E52" s="89">
        <v>51000</v>
      </c>
      <c r="F52" s="228">
        <v>59000</v>
      </c>
      <c r="G52" s="89">
        <v>65000</v>
      </c>
      <c r="H52" s="66" t="str">
        <f>VLOOKUP(A52,'Tot KPA'!A:H,8,0)</f>
        <v>Other revenue</v>
      </c>
    </row>
    <row r="53" spans="1:8" hidden="1" x14ac:dyDescent="0.35">
      <c r="A53" s="66" t="s">
        <v>3483</v>
      </c>
      <c r="B53" s="89"/>
      <c r="C53" s="89"/>
      <c r="D53" s="89"/>
      <c r="E53" s="89"/>
      <c r="F53" s="89"/>
      <c r="G53" s="89"/>
      <c r="H53" s="66" t="str">
        <f>VLOOKUP(A53,'Tot KPA'!A:H,8,0)</f>
        <v>Service charges</v>
      </c>
    </row>
    <row r="54" spans="1:8" hidden="1" x14ac:dyDescent="0.35">
      <c r="A54" s="66" t="s">
        <v>3482</v>
      </c>
      <c r="B54" s="89"/>
      <c r="C54" s="89"/>
      <c r="D54" s="89"/>
      <c r="E54" s="89"/>
      <c r="F54" s="89"/>
      <c r="G54" s="89"/>
      <c r="H54" s="66" t="str">
        <f>VLOOKUP(A54,'Tot KPA'!A:H,8,0)</f>
        <v>Service charges</v>
      </c>
    </row>
    <row r="55" spans="1:8" hidden="1" x14ac:dyDescent="0.35">
      <c r="A55" s="66" t="s">
        <v>3481</v>
      </c>
      <c r="B55" s="89"/>
      <c r="C55" s="89"/>
      <c r="D55" s="89"/>
      <c r="E55" s="89"/>
      <c r="F55" s="89"/>
      <c r="G55" s="89"/>
      <c r="H55" s="66" t="str">
        <f>VLOOKUP(A55,'Tot KPA'!A:H,8,0)</f>
        <v xml:space="preserve">Service charges </v>
      </c>
    </row>
    <row r="56" spans="1:8" hidden="1" x14ac:dyDescent="0.35">
      <c r="A56" s="66" t="s">
        <v>2971</v>
      </c>
      <c r="B56" s="89">
        <v>0</v>
      </c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66" t="str">
        <f>VLOOKUP(A56,'Tot KPA'!A:H,8,0)</f>
        <v>Other revenue</v>
      </c>
    </row>
    <row r="57" spans="1:8" hidden="1" x14ac:dyDescent="0.35">
      <c r="A57" s="66" t="s">
        <v>2840</v>
      </c>
      <c r="B57" s="89">
        <v>0</v>
      </c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66" t="str">
        <f>VLOOKUP(A57,'Tot KPA'!A:H,8,0)</f>
        <v>Agency services</v>
      </c>
    </row>
    <row r="58" spans="1:8" hidden="1" x14ac:dyDescent="0.35">
      <c r="A58" s="66" t="s">
        <v>153</v>
      </c>
      <c r="B58" s="89">
        <v>0</v>
      </c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66" t="str">
        <f>VLOOKUP(A58,'Tot KPA'!A:H,8,0)</f>
        <v>Agency services</v>
      </c>
    </row>
    <row r="59" spans="1:8" hidden="1" x14ac:dyDescent="0.35">
      <c r="A59" s="66" t="s">
        <v>2897</v>
      </c>
      <c r="B59" s="89">
        <v>0</v>
      </c>
      <c r="C59" s="89">
        <v>0</v>
      </c>
      <c r="D59" s="89">
        <v>0</v>
      </c>
      <c r="E59" s="89">
        <v>0</v>
      </c>
      <c r="F59" s="89">
        <v>0</v>
      </c>
      <c r="G59" s="89">
        <v>0</v>
      </c>
      <c r="H59" s="66" t="str">
        <f>VLOOKUP(A59,'Tot KPA'!A:H,8,0)</f>
        <v>Other revenue</v>
      </c>
    </row>
    <row r="60" spans="1:8" hidden="1" x14ac:dyDescent="0.35">
      <c r="A60" s="66" t="s">
        <v>2972</v>
      </c>
      <c r="B60" s="89">
        <v>0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66" t="str">
        <f>VLOOKUP(A60,'Tot KPA'!A:H,8,0)</f>
        <v>Transfers</v>
      </c>
    </row>
    <row r="61" spans="1:8" hidden="1" x14ac:dyDescent="0.35">
      <c r="A61" s="66" t="s">
        <v>2938</v>
      </c>
      <c r="B61" s="89">
        <v>0</v>
      </c>
      <c r="C61" s="89">
        <v>0</v>
      </c>
      <c r="D61" s="89">
        <v>0</v>
      </c>
      <c r="E61" s="89">
        <v>0</v>
      </c>
      <c r="F61" s="89">
        <v>0</v>
      </c>
      <c r="G61" s="89">
        <v>0</v>
      </c>
      <c r="H61" s="66" t="str">
        <f>VLOOKUP(A61,'Tot KPA'!A:H,8,0)</f>
        <v>Other revenue</v>
      </c>
    </row>
    <row r="62" spans="1:8" hidden="1" x14ac:dyDescent="0.35">
      <c r="A62" s="66" t="s">
        <v>2948</v>
      </c>
      <c r="B62" s="89">
        <v>0</v>
      </c>
      <c r="C62" s="89">
        <v>0</v>
      </c>
      <c r="D62" s="89">
        <v>0</v>
      </c>
      <c r="E62" s="89">
        <v>0</v>
      </c>
      <c r="F62" s="89">
        <v>0</v>
      </c>
      <c r="G62" s="89">
        <v>0</v>
      </c>
      <c r="H62" s="66" t="str">
        <f>VLOOKUP(A62,'Tot KPA'!A:H,8,0)</f>
        <v>Property rates</v>
      </c>
    </row>
    <row r="63" spans="1:8" hidden="1" x14ac:dyDescent="0.35">
      <c r="A63" s="66" t="s">
        <v>2939</v>
      </c>
      <c r="B63" s="89">
        <v>0</v>
      </c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66" t="str">
        <f>VLOOKUP(A63,'Tot KPA'!A:H,8,0)</f>
        <v>Property rates</v>
      </c>
    </row>
    <row r="64" spans="1:8" hidden="1" x14ac:dyDescent="0.35">
      <c r="A64" s="66" t="s">
        <v>2947</v>
      </c>
      <c r="B64" s="89">
        <v>0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66" t="str">
        <f>VLOOKUP(A64,'Tot KPA'!A:H,8,0)</f>
        <v>Property rates</v>
      </c>
    </row>
    <row r="65" spans="1:8" hidden="1" x14ac:dyDescent="0.35">
      <c r="A65" s="66" t="s">
        <v>3070</v>
      </c>
      <c r="B65" s="89">
        <v>0</v>
      </c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66" t="str">
        <f>VLOOKUP(A65,'Tot KPA'!A:H,8,0)</f>
        <v>Property rates</v>
      </c>
    </row>
    <row r="66" spans="1:8" hidden="1" x14ac:dyDescent="0.35">
      <c r="A66" s="66" t="s">
        <v>3069</v>
      </c>
      <c r="B66" s="89">
        <v>0</v>
      </c>
      <c r="C66" s="89">
        <v>0</v>
      </c>
      <c r="D66" s="89">
        <v>0</v>
      </c>
      <c r="E66" s="89">
        <v>0</v>
      </c>
      <c r="F66" s="89">
        <v>0</v>
      </c>
      <c r="G66" s="89">
        <v>0</v>
      </c>
      <c r="H66" s="66" t="str">
        <f>VLOOKUP(A66,'Tot KPA'!A:H,8,0)</f>
        <v>Property rates</v>
      </c>
    </row>
    <row r="67" spans="1:8" hidden="1" x14ac:dyDescent="0.35">
      <c r="A67" s="66" t="s">
        <v>2946</v>
      </c>
      <c r="B67" s="89">
        <v>0</v>
      </c>
      <c r="C67" s="89">
        <v>0</v>
      </c>
      <c r="D67" s="89">
        <v>0</v>
      </c>
      <c r="E67" s="89">
        <v>0</v>
      </c>
      <c r="F67" s="89">
        <v>0</v>
      </c>
      <c r="G67" s="89">
        <v>0</v>
      </c>
      <c r="H67" s="66" t="str">
        <f>VLOOKUP(A67,'Tot KPA'!A:H,8,0)</f>
        <v>Property rates</v>
      </c>
    </row>
    <row r="68" spans="1:8" hidden="1" x14ac:dyDescent="0.35">
      <c r="A68" s="66" t="s">
        <v>2975</v>
      </c>
      <c r="B68" s="89">
        <v>0</v>
      </c>
      <c r="C68" s="89">
        <v>0</v>
      </c>
      <c r="D68" s="89">
        <v>0</v>
      </c>
      <c r="E68" s="89">
        <v>0</v>
      </c>
      <c r="F68" s="89">
        <v>0</v>
      </c>
      <c r="G68" s="89">
        <v>0</v>
      </c>
      <c r="H68" s="66" t="str">
        <f>VLOOKUP(A68,'Tot KPA'!A:H,8,0)</f>
        <v>Other revenue</v>
      </c>
    </row>
    <row r="69" spans="1:8" hidden="1" x14ac:dyDescent="0.35">
      <c r="A69" s="66" t="s">
        <v>2950</v>
      </c>
      <c r="B69" s="89">
        <v>0</v>
      </c>
      <c r="C69" s="89">
        <v>0</v>
      </c>
      <c r="D69" s="89">
        <v>0</v>
      </c>
      <c r="E69" s="89">
        <v>0</v>
      </c>
      <c r="F69" s="89">
        <v>0</v>
      </c>
      <c r="G69" s="89">
        <v>0</v>
      </c>
      <c r="H69" s="66" t="e">
        <f>VLOOKUP(A69,'Tot KPA'!A:H,8,0)</f>
        <v>#N/A</v>
      </c>
    </row>
    <row r="70" spans="1:8" hidden="1" x14ac:dyDescent="0.35">
      <c r="A70" s="66" t="s">
        <v>2830</v>
      </c>
      <c r="B70" s="89">
        <v>0</v>
      </c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66" t="str">
        <f>VLOOKUP(A70,'Tot KPA'!A:H,8,0)</f>
        <v>Transfers recognised</v>
      </c>
    </row>
    <row r="71" spans="1:8" hidden="1" x14ac:dyDescent="0.35">
      <c r="A71" s="66" t="s">
        <v>2873</v>
      </c>
      <c r="B71" s="89">
        <v>0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66" t="str">
        <f>VLOOKUP(A71,'Tot KPA'!A:H,8,0)</f>
        <v>Rental of facilities and equipment</v>
      </c>
    </row>
    <row r="72" spans="1:8" hidden="1" x14ac:dyDescent="0.35">
      <c r="A72" s="66" t="s">
        <v>2937</v>
      </c>
      <c r="B72" s="89">
        <v>0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66" t="str">
        <f>VLOOKUP(A72,'Tot KPA'!A:H,8,0)</f>
        <v>Other revenue</v>
      </c>
    </row>
    <row r="73" spans="1:8" hidden="1" x14ac:dyDescent="0.35">
      <c r="A73" s="66" t="s">
        <v>2935</v>
      </c>
      <c r="B73" s="89">
        <v>0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66" t="str">
        <f>VLOOKUP(A73,'Tot KPA'!A:H,8,0)</f>
        <v>Other revenue</v>
      </c>
    </row>
    <row r="74" spans="1:8" hidden="1" x14ac:dyDescent="0.35">
      <c r="A74" s="66" t="s">
        <v>2898</v>
      </c>
      <c r="B74" s="89">
        <v>0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66" t="str">
        <f>VLOOKUP(A74,'Tot KPA'!A:H,8,0)</f>
        <v>Other revenue</v>
      </c>
    </row>
    <row r="75" spans="1:8" hidden="1" x14ac:dyDescent="0.35">
      <c r="A75" s="66" t="s">
        <v>2841</v>
      </c>
      <c r="B75" s="89">
        <v>0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66" t="str">
        <f>VLOOKUP(A75,'Tot KPA'!A:H,8,0)</f>
        <v>Other revenue</v>
      </c>
    </row>
    <row r="76" spans="1:8" hidden="1" x14ac:dyDescent="0.35">
      <c r="A76" s="66" t="s">
        <v>2945</v>
      </c>
      <c r="B76" s="89">
        <v>0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66" t="str">
        <f>VLOOKUP(A76,'Tot KPA'!A:H,8,0)</f>
        <v>Service charges</v>
      </c>
    </row>
    <row r="77" spans="1:8" hidden="1" x14ac:dyDescent="0.35">
      <c r="A77" s="66" t="s">
        <v>2951</v>
      </c>
      <c r="B77" s="89">
        <v>0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66" t="e">
        <f>VLOOKUP(A77,'Tot KPA'!A:H,8,0)</f>
        <v>#N/A</v>
      </c>
    </row>
    <row r="78" spans="1:8" hidden="1" x14ac:dyDescent="0.35">
      <c r="A78" s="66" t="s">
        <v>3071</v>
      </c>
      <c r="B78" s="89"/>
      <c r="C78" s="89"/>
      <c r="D78" s="89"/>
      <c r="E78" s="89"/>
      <c r="F78" s="89"/>
      <c r="G78" s="89"/>
      <c r="H78" s="66" t="str">
        <f>VLOOKUP(A78,'Tot KPA'!A:H,8,0)</f>
        <v>Other revenue/transfers</v>
      </c>
    </row>
    <row r="79" spans="1:8" hidden="1" x14ac:dyDescent="0.35">
      <c r="A79" s="66" t="s">
        <v>2867</v>
      </c>
      <c r="B79" s="89">
        <v>0</v>
      </c>
      <c r="C79" s="89">
        <v>0</v>
      </c>
      <c r="D79" s="89">
        <v>0</v>
      </c>
      <c r="E79" s="89">
        <v>0</v>
      </c>
      <c r="F79" s="89">
        <v>0</v>
      </c>
      <c r="G79" s="89">
        <v>0</v>
      </c>
      <c r="H79" s="66" t="str">
        <f>VLOOKUP(A79,'Tot KPA'!A:H,8,0)</f>
        <v>Rental of facilities and equipment</v>
      </c>
    </row>
    <row r="80" spans="1:8" hidden="1" x14ac:dyDescent="0.35">
      <c r="A80" s="66" t="s">
        <v>2868</v>
      </c>
      <c r="B80" s="89">
        <v>0</v>
      </c>
      <c r="C80" s="89">
        <v>0</v>
      </c>
      <c r="D80" s="89">
        <v>0</v>
      </c>
      <c r="E80" s="89">
        <v>0</v>
      </c>
      <c r="F80" s="89">
        <v>0</v>
      </c>
      <c r="G80" s="89">
        <v>0</v>
      </c>
      <c r="H80" s="66" t="str">
        <f>VLOOKUP(A80,'Tot KPA'!A:H,8,0)</f>
        <v>Rental of facilities and equipment</v>
      </c>
    </row>
    <row r="81" spans="1:8" hidden="1" x14ac:dyDescent="0.35">
      <c r="A81" s="66" t="s">
        <v>2869</v>
      </c>
      <c r="B81" s="89">
        <v>0</v>
      </c>
      <c r="C81" s="89">
        <v>0</v>
      </c>
      <c r="D81" s="89">
        <v>0</v>
      </c>
      <c r="E81" s="89">
        <v>0</v>
      </c>
      <c r="F81" s="89">
        <v>0</v>
      </c>
      <c r="G81" s="89">
        <v>0</v>
      </c>
      <c r="H81" s="66" t="str">
        <f>VLOOKUP(A81,'Tot KPA'!A:H,8,0)</f>
        <v>Rental of facilities and equipment</v>
      </c>
    </row>
    <row r="82" spans="1:8" hidden="1" x14ac:dyDescent="0.35">
      <c r="A82" s="66" t="s">
        <v>2866</v>
      </c>
      <c r="B82" s="89">
        <v>0</v>
      </c>
      <c r="C82" s="89">
        <v>0</v>
      </c>
      <c r="D82" s="89">
        <v>0</v>
      </c>
      <c r="E82" s="89">
        <v>0</v>
      </c>
      <c r="F82" s="89">
        <v>0</v>
      </c>
      <c r="G82" s="89">
        <v>0</v>
      </c>
      <c r="H82" s="66" t="str">
        <f>VLOOKUP(A82,'Tot KPA'!A:H,8,0)</f>
        <v>Rental of facilities and equipment</v>
      </c>
    </row>
    <row r="83" spans="1:8" hidden="1" x14ac:dyDescent="0.35">
      <c r="A83" s="66" t="s">
        <v>2870</v>
      </c>
      <c r="B83" s="89">
        <v>0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66" t="str">
        <f>VLOOKUP(A83,'Tot KPA'!A:H,8,0)</f>
        <v>Rental of facilities and equipment</v>
      </c>
    </row>
    <row r="84" spans="1:8" hidden="1" x14ac:dyDescent="0.35">
      <c r="A84" s="66" t="s">
        <v>2842</v>
      </c>
      <c r="B84" s="89">
        <v>0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66" t="str">
        <f>VLOOKUP(A84,'Tot KPA'!A:H,8,0)</f>
        <v>Other revenue</v>
      </c>
    </row>
    <row r="85" spans="1:8" hidden="1" x14ac:dyDescent="0.35">
      <c r="A85" s="66" t="s">
        <v>2843</v>
      </c>
      <c r="B85" s="89">
        <v>0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66" t="str">
        <f>VLOOKUP(A85,'Tot KPA'!A:H,8,0)</f>
        <v>Other revenue</v>
      </c>
    </row>
    <row r="86" spans="1:8" hidden="1" x14ac:dyDescent="0.35">
      <c r="A86" s="66" t="s">
        <v>2973</v>
      </c>
      <c r="B86" s="89">
        <v>0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66" t="str">
        <f>VLOOKUP(A86,'Tot KPA'!A:H,8,0)</f>
        <v>Other revenue</v>
      </c>
    </row>
    <row r="87" spans="1:8" hidden="1" x14ac:dyDescent="0.35">
      <c r="A87" s="66" t="s">
        <v>2969</v>
      </c>
      <c r="B87" s="89">
        <v>0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66" t="str">
        <f>VLOOKUP(A87,'Tot KPA'!A:H,8,0)</f>
        <v>Other revenue</v>
      </c>
    </row>
    <row r="88" spans="1:8" hidden="1" x14ac:dyDescent="0.35">
      <c r="A88" s="66" t="s">
        <v>2944</v>
      </c>
      <c r="B88" s="89">
        <v>0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66" t="str">
        <f>VLOOKUP(A88,'Tot KPA'!A:H,8,0)</f>
        <v>Fines</v>
      </c>
    </row>
    <row r="89" spans="1:8" hidden="1" x14ac:dyDescent="0.35">
      <c r="A89" s="66" t="s">
        <v>2943</v>
      </c>
      <c r="B89" s="89">
        <v>0</v>
      </c>
      <c r="C89" s="89">
        <v>0</v>
      </c>
      <c r="D89" s="89">
        <v>0</v>
      </c>
      <c r="E89" s="89">
        <v>0</v>
      </c>
      <c r="F89" s="89">
        <v>0</v>
      </c>
      <c r="G89" s="89">
        <v>0</v>
      </c>
      <c r="H89" s="66" t="str">
        <f>VLOOKUP(A89,'Tot KPA'!A:H,8,0)</f>
        <v>Service charges</v>
      </c>
    </row>
    <row r="90" spans="1:8" hidden="1" x14ac:dyDescent="0.35">
      <c r="A90" s="66" t="s">
        <v>2831</v>
      </c>
      <c r="B90" s="89">
        <v>0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66" t="str">
        <f>VLOOKUP(A90,'Tot KPA'!A:H,8,0)</f>
        <v>Transfers recognised</v>
      </c>
    </row>
    <row r="91" spans="1:8" hidden="1" x14ac:dyDescent="0.35">
      <c r="A91" s="66" t="s">
        <v>2940</v>
      </c>
      <c r="B91" s="89">
        <v>0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66" t="str">
        <f>VLOOKUP(A91,'Tot KPA'!A:H,8,0)</f>
        <v>Service charges</v>
      </c>
    </row>
    <row r="92" spans="1:8" hidden="1" x14ac:dyDescent="0.35">
      <c r="A92" s="66" t="s">
        <v>2942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66" t="str">
        <f>VLOOKUP(A92,'Tot KPA'!A:H,8,0)</f>
        <v>Service charges</v>
      </c>
    </row>
    <row r="93" spans="1:8" hidden="1" x14ac:dyDescent="0.35">
      <c r="A93" s="66" t="s">
        <v>2952</v>
      </c>
      <c r="B93" s="89">
        <v>0</v>
      </c>
      <c r="C93" s="89">
        <v>0</v>
      </c>
      <c r="D93" s="89">
        <v>0</v>
      </c>
      <c r="E93" s="89">
        <v>0</v>
      </c>
      <c r="F93" s="89">
        <v>0</v>
      </c>
      <c r="G93" s="89">
        <v>0</v>
      </c>
      <c r="H93" s="66" t="e">
        <f>VLOOKUP(A93,'Tot KPA'!A:H,8,0)</f>
        <v>#N/A</v>
      </c>
    </row>
    <row r="94" spans="1:8" hidden="1" x14ac:dyDescent="0.35">
      <c r="A94" s="66" t="s">
        <v>2941</v>
      </c>
      <c r="B94" s="89">
        <v>0</v>
      </c>
      <c r="C94" s="89">
        <v>0</v>
      </c>
      <c r="D94" s="89">
        <v>0</v>
      </c>
      <c r="E94" s="89">
        <v>0</v>
      </c>
      <c r="F94" s="89">
        <v>0</v>
      </c>
      <c r="G94" s="89">
        <v>0</v>
      </c>
      <c r="H94" s="66" t="str">
        <f>VLOOKUP(A94,'Tot KPA'!A:H,8,0)</f>
        <v>Fines</v>
      </c>
    </row>
    <row r="95" spans="1:8" hidden="1" x14ac:dyDescent="0.35">
      <c r="A95" s="66" t="s">
        <v>2970</v>
      </c>
      <c r="B95" s="89">
        <v>0</v>
      </c>
      <c r="C95" s="89">
        <v>0</v>
      </c>
      <c r="D95" s="89">
        <v>0</v>
      </c>
      <c r="E95" s="89">
        <v>0</v>
      </c>
      <c r="F95" s="89">
        <v>0</v>
      </c>
      <c r="G95" s="89">
        <v>0</v>
      </c>
      <c r="H95" s="66" t="str">
        <f>VLOOKUP(A95,'Tot KPA'!A:H,8,0)</f>
        <v>Other revenue</v>
      </c>
    </row>
    <row r="96" spans="1:8" x14ac:dyDescent="0.35">
      <c r="A96" s="113"/>
      <c r="B96" s="113"/>
      <c r="C96" s="113"/>
      <c r="D96" s="111"/>
      <c r="E96" s="113"/>
      <c r="G96" s="113"/>
      <c r="H96" s="66"/>
    </row>
    <row r="97" spans="1:8" ht="15" thickBot="1" x14ac:dyDescent="0.4">
      <c r="A97" s="117" t="s">
        <v>2545</v>
      </c>
      <c r="B97" s="112">
        <f t="shared" ref="B97:G97" si="0">SUM(B1:B95)</f>
        <v>-1629800</v>
      </c>
      <c r="C97" s="112">
        <f t="shared" si="0"/>
        <v>0</v>
      </c>
      <c r="D97" s="112">
        <f t="shared" si="0"/>
        <v>-1461473</v>
      </c>
      <c r="E97" s="112">
        <f t="shared" si="0"/>
        <v>-1453700</v>
      </c>
      <c r="F97" s="112">
        <f t="shared" si="0"/>
        <v>-1612100</v>
      </c>
      <c r="G97" s="112">
        <f t="shared" si="0"/>
        <v>-1696600</v>
      </c>
      <c r="H97" s="66"/>
    </row>
    <row r="98" spans="1:8" ht="15" thickTop="1" x14ac:dyDescent="0.35">
      <c r="A98" s="113"/>
      <c r="B98" s="113"/>
      <c r="C98" s="113"/>
      <c r="D98" s="111"/>
      <c r="E98" s="113"/>
      <c r="G98" s="113"/>
      <c r="H98" s="66"/>
    </row>
    <row r="99" spans="1:8" x14ac:dyDescent="0.35">
      <c r="A99" s="126" t="s">
        <v>2685</v>
      </c>
      <c r="B99" s="113"/>
      <c r="C99" s="113"/>
      <c r="D99" s="111"/>
      <c r="E99" s="113"/>
      <c r="G99" s="113"/>
      <c r="H99" s="66"/>
    </row>
    <row r="100" spans="1:8" x14ac:dyDescent="0.35">
      <c r="A100" s="126"/>
      <c r="B100" s="113"/>
      <c r="C100" s="113"/>
      <c r="D100" s="111"/>
      <c r="E100" s="113"/>
      <c r="G100" s="113"/>
      <c r="H100" s="66"/>
    </row>
    <row r="101" spans="1:8" hidden="1" x14ac:dyDescent="0.35">
      <c r="A101" s="66" t="s">
        <v>3438</v>
      </c>
      <c r="B101" s="89">
        <v>0</v>
      </c>
      <c r="C101" s="89"/>
      <c r="D101" s="89"/>
      <c r="E101" s="89"/>
      <c r="F101" s="89"/>
      <c r="G101" s="89"/>
      <c r="H101" s="66" t="str">
        <f>VLOOKUP(A101,'Tot KPA'!A:H,8,0)</f>
        <v>Other expenditure</v>
      </c>
    </row>
    <row r="102" spans="1:8" hidden="1" x14ac:dyDescent="0.35">
      <c r="A102" s="66" t="s">
        <v>2823</v>
      </c>
      <c r="B102" s="89">
        <v>0</v>
      </c>
      <c r="C102" s="89">
        <v>0</v>
      </c>
      <c r="D102" s="89">
        <v>0</v>
      </c>
      <c r="E102" s="89">
        <v>0</v>
      </c>
      <c r="F102" s="89">
        <v>0</v>
      </c>
      <c r="G102" s="89">
        <v>0</v>
      </c>
      <c r="H102" s="66" t="e">
        <f>VLOOKUP(A102,'Tot KPA'!A:H,8,0)</f>
        <v>#N/A</v>
      </c>
    </row>
    <row r="103" spans="1:8" hidden="1" x14ac:dyDescent="0.35">
      <c r="A103" s="66" t="s">
        <v>2822</v>
      </c>
      <c r="B103" s="89">
        <v>0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66" t="str">
        <f>VLOOKUP(A103,'Tot KPA'!A:H,8,0)</f>
        <v>Other expenditure</v>
      </c>
    </row>
    <row r="104" spans="1:8" hidden="1" x14ac:dyDescent="0.35">
      <c r="A104" s="66" t="s">
        <v>2821</v>
      </c>
      <c r="B104" s="89">
        <v>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66" t="str">
        <f>VLOOKUP(A104,'Tot KPA'!A:H,8,0)</f>
        <v>Other expenditure</v>
      </c>
    </row>
    <row r="105" spans="1:8" hidden="1" x14ac:dyDescent="0.35">
      <c r="A105" s="66" t="s">
        <v>2820</v>
      </c>
      <c r="B105" s="89">
        <v>0</v>
      </c>
      <c r="C105" s="89">
        <v>0</v>
      </c>
      <c r="D105" s="89">
        <v>0</v>
      </c>
      <c r="E105" s="89">
        <v>0</v>
      </c>
      <c r="F105" s="89">
        <v>0</v>
      </c>
      <c r="G105" s="89">
        <v>0</v>
      </c>
      <c r="H105" s="66" t="str">
        <f>VLOOKUP(A105,'Tot KPA'!A:H,8,0)</f>
        <v>Contracted Services</v>
      </c>
    </row>
    <row r="106" spans="1:8" hidden="1" x14ac:dyDescent="0.35">
      <c r="A106" s="66" t="s">
        <v>2819</v>
      </c>
      <c r="B106" s="89">
        <v>0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66" t="str">
        <f>VLOOKUP(A106,'Tot KPA'!A:H,8,0)</f>
        <v>Other expenditure</v>
      </c>
    </row>
    <row r="107" spans="1:8" hidden="1" x14ac:dyDescent="0.35">
      <c r="A107" s="66" t="s">
        <v>3440</v>
      </c>
      <c r="B107" s="89">
        <v>0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66" t="str">
        <f>VLOOKUP(A107,'Tot KPA'!A:H,8,0)</f>
        <v>Contracted Services</v>
      </c>
    </row>
    <row r="108" spans="1:8" hidden="1" x14ac:dyDescent="0.35">
      <c r="A108" s="66" t="s">
        <v>2844</v>
      </c>
      <c r="B108" s="89">
        <v>0</v>
      </c>
      <c r="C108" s="89">
        <v>0</v>
      </c>
      <c r="D108" s="89">
        <v>0</v>
      </c>
      <c r="E108" s="89">
        <v>0</v>
      </c>
      <c r="F108" s="89">
        <v>0</v>
      </c>
      <c r="G108" s="89">
        <v>0</v>
      </c>
      <c r="H108" s="66" t="str">
        <f>VLOOKUP(A108,'Tot KPA'!A:H,8,0)</f>
        <v>Other expenditure</v>
      </c>
    </row>
    <row r="109" spans="1:8" hidden="1" x14ac:dyDescent="0.35">
      <c r="A109" s="66" t="s">
        <v>2992</v>
      </c>
      <c r="B109" s="89">
        <v>0</v>
      </c>
      <c r="C109" s="89">
        <v>0</v>
      </c>
      <c r="D109" s="89">
        <v>0</v>
      </c>
      <c r="E109" s="89">
        <v>0</v>
      </c>
      <c r="F109" s="89">
        <v>0</v>
      </c>
      <c r="G109" s="89">
        <v>0</v>
      </c>
      <c r="H109" s="66" t="str">
        <f>VLOOKUP(A109,'Tot KPA'!A:H,8,0)</f>
        <v>Bulk purchases</v>
      </c>
    </row>
    <row r="110" spans="1:8" hidden="1" x14ac:dyDescent="0.35">
      <c r="A110" s="66" t="s">
        <v>2644</v>
      </c>
      <c r="B110" s="89">
        <v>0</v>
      </c>
      <c r="C110" s="89">
        <v>0</v>
      </c>
      <c r="D110" s="89">
        <v>0</v>
      </c>
      <c r="E110" s="89">
        <v>0</v>
      </c>
      <c r="F110" s="89">
        <v>0</v>
      </c>
      <c r="G110" s="89">
        <v>0</v>
      </c>
      <c r="H110" s="66" t="str">
        <f>VLOOKUP(A110,'Tot KPA'!A:H,8,0)</f>
        <v>Other materials</v>
      </c>
    </row>
    <row r="111" spans="1:8" x14ac:dyDescent="0.35">
      <c r="A111" s="66" t="s">
        <v>2845</v>
      </c>
      <c r="B111" s="89">
        <v>10000</v>
      </c>
      <c r="C111" s="89"/>
      <c r="D111" s="89">
        <v>9195.34</v>
      </c>
      <c r="E111" s="89">
        <f>+B111*1.06</f>
        <v>10600</v>
      </c>
      <c r="F111" s="228">
        <v>12200</v>
      </c>
      <c r="G111" s="89">
        <v>13200</v>
      </c>
      <c r="H111" s="66" t="str">
        <f>VLOOKUP(A111,'Tot KPA'!A:H,8,0)</f>
        <v>Other materials</v>
      </c>
    </row>
    <row r="112" spans="1:8" hidden="1" x14ac:dyDescent="0.35">
      <c r="A112" s="66" t="s">
        <v>2846</v>
      </c>
      <c r="B112" s="89">
        <v>0</v>
      </c>
      <c r="C112" s="89"/>
      <c r="D112" s="89"/>
      <c r="E112" s="89"/>
      <c r="F112" s="228"/>
      <c r="G112" s="89"/>
      <c r="H112" s="66" t="str">
        <f>VLOOKUP(A112,'Tot KPA'!A:H,8,0)</f>
        <v>Contracted services</v>
      </c>
    </row>
    <row r="113" spans="1:8" hidden="1" x14ac:dyDescent="0.35">
      <c r="A113" s="66" t="s">
        <v>2959</v>
      </c>
      <c r="B113" s="89">
        <v>0</v>
      </c>
      <c r="C113" s="89"/>
      <c r="D113" s="89"/>
      <c r="E113" s="89"/>
      <c r="F113" s="228"/>
      <c r="G113" s="89"/>
      <c r="H113" s="66" t="str">
        <f>VLOOKUP(A113,'Tot KPA'!A:H,8,0)</f>
        <v>Other expenditure</v>
      </c>
    </row>
    <row r="114" spans="1:8" hidden="1" x14ac:dyDescent="0.35">
      <c r="A114" s="66" t="s">
        <v>2960</v>
      </c>
      <c r="B114" s="89">
        <v>0</v>
      </c>
      <c r="C114" s="89"/>
      <c r="D114" s="89"/>
      <c r="E114" s="89"/>
      <c r="F114" s="228"/>
      <c r="G114" s="89"/>
      <c r="H114" s="66" t="str">
        <f>VLOOKUP(A114,'Tot KPA'!A:H,8,0)</f>
        <v>Other expenditure</v>
      </c>
    </row>
    <row r="115" spans="1:8" hidden="1" x14ac:dyDescent="0.35">
      <c r="A115" s="66" t="s">
        <v>2660</v>
      </c>
      <c r="B115" s="89">
        <v>0</v>
      </c>
      <c r="C115" s="89"/>
      <c r="D115" s="89"/>
      <c r="E115" s="89"/>
      <c r="F115" s="228"/>
      <c r="G115" s="89"/>
      <c r="H115" s="66" t="str">
        <f>VLOOKUP(A115,'Tot KPA'!A:H,8,0)</f>
        <v>Contracted Services</v>
      </c>
    </row>
    <row r="116" spans="1:8" hidden="1" x14ac:dyDescent="0.35">
      <c r="A116" s="66" t="s">
        <v>2886</v>
      </c>
      <c r="B116" s="89">
        <v>0</v>
      </c>
      <c r="C116" s="89"/>
      <c r="D116" s="89"/>
      <c r="E116" s="89"/>
      <c r="F116" s="228"/>
      <c r="G116" s="89"/>
      <c r="H116" s="66" t="str">
        <f>VLOOKUP(A116,'Tot KPA'!A:H,8,0)</f>
        <v>Other expenditure</v>
      </c>
    </row>
    <row r="117" spans="1:8" hidden="1" x14ac:dyDescent="0.35">
      <c r="A117" s="66" t="s">
        <v>2885</v>
      </c>
      <c r="B117" s="89">
        <v>0</v>
      </c>
      <c r="C117" s="89"/>
      <c r="D117" s="89"/>
      <c r="E117" s="89"/>
      <c r="F117" s="228"/>
      <c r="G117" s="89"/>
      <c r="H117" s="66" t="str">
        <f>VLOOKUP(A117,'Tot KPA'!A:H,8,0)</f>
        <v>Other expenditure</v>
      </c>
    </row>
    <row r="118" spans="1:8" hidden="1" x14ac:dyDescent="0.35">
      <c r="A118" s="66" t="s">
        <v>2636</v>
      </c>
      <c r="B118" s="89">
        <v>0</v>
      </c>
      <c r="C118" s="89"/>
      <c r="D118" s="89"/>
      <c r="E118" s="89"/>
      <c r="F118" s="228"/>
      <c r="G118" s="89"/>
      <c r="H118" s="66" t="str">
        <f>VLOOKUP(A118,'Tot KPA'!A:H,8,0)</f>
        <v>Other expenditure</v>
      </c>
    </row>
    <row r="119" spans="1:8" hidden="1" x14ac:dyDescent="0.35">
      <c r="A119" s="66" t="s">
        <v>3441</v>
      </c>
      <c r="B119" s="89">
        <v>0</v>
      </c>
      <c r="C119" s="89"/>
      <c r="D119" s="89"/>
      <c r="E119" s="89"/>
      <c r="F119" s="228"/>
      <c r="G119" s="89"/>
      <c r="H119" s="66" t="e">
        <f>VLOOKUP(A119,'Tot KPA'!A:H,8,0)</f>
        <v>#N/A</v>
      </c>
    </row>
    <row r="120" spans="1:8" hidden="1" x14ac:dyDescent="0.35">
      <c r="A120" s="66" t="s">
        <v>2874</v>
      </c>
      <c r="B120" s="89">
        <v>0</v>
      </c>
      <c r="C120" s="89"/>
      <c r="D120" s="89"/>
      <c r="E120" s="89"/>
      <c r="F120" s="228"/>
      <c r="G120" s="89"/>
      <c r="H120" s="66" t="str">
        <f>VLOOKUP(A120,'Tot KPA'!A:H,8,0)</f>
        <v>Contracted services</v>
      </c>
    </row>
    <row r="121" spans="1:8" hidden="1" x14ac:dyDescent="0.35">
      <c r="A121" s="66" t="s">
        <v>2875</v>
      </c>
      <c r="B121" s="89">
        <v>0</v>
      </c>
      <c r="C121" s="89"/>
      <c r="D121" s="89"/>
      <c r="E121" s="89"/>
      <c r="F121" s="228"/>
      <c r="G121" s="89"/>
      <c r="H121" s="66" t="str">
        <f>VLOOKUP(A121,'Tot KPA'!A:H,8,0)</f>
        <v>Contracted services</v>
      </c>
    </row>
    <row r="122" spans="1:8" hidden="1" x14ac:dyDescent="0.35">
      <c r="A122" s="66" t="s">
        <v>2876</v>
      </c>
      <c r="B122" s="89">
        <v>0</v>
      </c>
      <c r="C122" s="89"/>
      <c r="D122" s="89"/>
      <c r="E122" s="89"/>
      <c r="F122" s="228"/>
      <c r="G122" s="89"/>
      <c r="H122" s="66" t="str">
        <f>VLOOKUP(A122,'Tot KPA'!A:H,8,0)</f>
        <v>Contracted services</v>
      </c>
    </row>
    <row r="123" spans="1:8" hidden="1" x14ac:dyDescent="0.35">
      <c r="A123" s="66" t="s">
        <v>2877</v>
      </c>
      <c r="B123" s="89">
        <v>0</v>
      </c>
      <c r="C123" s="89"/>
      <c r="D123" s="89"/>
      <c r="E123" s="89"/>
      <c r="F123" s="228"/>
      <c r="G123" s="89"/>
      <c r="H123" s="66" t="str">
        <f>VLOOKUP(A123,'Tot KPA'!A:H,8,0)</f>
        <v>Other expenditure</v>
      </c>
    </row>
    <row r="124" spans="1:8" hidden="1" x14ac:dyDescent="0.35">
      <c r="A124" s="66" t="s">
        <v>2884</v>
      </c>
      <c r="B124" s="89">
        <v>0</v>
      </c>
      <c r="C124" s="89"/>
      <c r="D124" s="89"/>
      <c r="E124" s="89"/>
      <c r="F124" s="228"/>
      <c r="G124" s="89"/>
      <c r="H124" s="66" t="str">
        <f>VLOOKUP(A124,'Tot KPA'!A:H,8,0)</f>
        <v>Other expenditure</v>
      </c>
    </row>
    <row r="125" spans="1:8" hidden="1" x14ac:dyDescent="0.35">
      <c r="A125" s="66" t="s">
        <v>2847</v>
      </c>
      <c r="B125" s="89">
        <v>10000</v>
      </c>
      <c r="C125" s="89"/>
      <c r="D125" s="89">
        <v>8769.25</v>
      </c>
      <c r="E125" s="89"/>
      <c r="F125" s="228"/>
      <c r="G125" s="89"/>
      <c r="H125" s="66" t="str">
        <f>VLOOKUP(A125,'Tot KPA'!A:H,8,0)</f>
        <v>other materials</v>
      </c>
    </row>
    <row r="126" spans="1:8" hidden="1" x14ac:dyDescent="0.35">
      <c r="A126" s="66" t="s">
        <v>3032</v>
      </c>
      <c r="B126" s="89">
        <v>0</v>
      </c>
      <c r="C126" s="89"/>
      <c r="D126" s="89"/>
      <c r="E126" s="89"/>
      <c r="F126" s="228"/>
      <c r="G126" s="89"/>
      <c r="H126" s="66" t="str">
        <f>VLOOKUP(A126,'Tot KPA'!A:H,8,0)</f>
        <v>Contracted services</v>
      </c>
    </row>
    <row r="127" spans="1:8" hidden="1" x14ac:dyDescent="0.35">
      <c r="A127" s="66" t="s">
        <v>2919</v>
      </c>
      <c r="B127" s="89">
        <v>0</v>
      </c>
      <c r="C127" s="89"/>
      <c r="D127" s="89"/>
      <c r="E127" s="89"/>
      <c r="F127" s="228"/>
      <c r="G127" s="89"/>
      <c r="H127" s="66" t="str">
        <f>VLOOKUP(A127,'Tot KPA'!A:H,8,0)</f>
        <v>Contracted services</v>
      </c>
    </row>
    <row r="128" spans="1:8" hidden="1" x14ac:dyDescent="0.35">
      <c r="A128" s="66" t="s">
        <v>3486</v>
      </c>
      <c r="B128" s="89">
        <v>0</v>
      </c>
      <c r="C128" s="89"/>
      <c r="D128" s="89"/>
      <c r="E128" s="89"/>
      <c r="F128" s="228"/>
      <c r="G128" s="89"/>
      <c r="H128" s="66" t="str">
        <f>VLOOKUP(A128,'Tot KPA'!A:H,8,0)</f>
        <v>Capital Expenditure</v>
      </c>
    </row>
    <row r="129" spans="1:8" hidden="1" x14ac:dyDescent="0.35">
      <c r="A129" s="66" t="s">
        <v>3487</v>
      </c>
      <c r="B129" s="89">
        <v>0</v>
      </c>
      <c r="C129" s="89"/>
      <c r="D129" s="89"/>
      <c r="E129" s="89"/>
      <c r="F129" s="228"/>
      <c r="G129" s="89"/>
      <c r="H129" s="66" t="str">
        <f>VLOOKUP(A129,'Tot KPA'!A:H,8,0)</f>
        <v>Capital Expenditure</v>
      </c>
    </row>
    <row r="130" spans="1:8" hidden="1" x14ac:dyDescent="0.35">
      <c r="A130" s="66" t="s">
        <v>3488</v>
      </c>
      <c r="B130" s="89">
        <v>0</v>
      </c>
      <c r="C130" s="89"/>
      <c r="D130" s="89"/>
      <c r="E130" s="89"/>
      <c r="F130" s="228"/>
      <c r="G130" s="89"/>
      <c r="H130" s="66" t="str">
        <f>VLOOKUP(A130,'Tot KPA'!A:H,8,0)</f>
        <v>Capital Expenditure</v>
      </c>
    </row>
    <row r="131" spans="1:8" hidden="1" x14ac:dyDescent="0.35">
      <c r="A131" s="66" t="s">
        <v>3489</v>
      </c>
      <c r="B131" s="89">
        <v>0</v>
      </c>
      <c r="C131" s="89"/>
      <c r="D131" s="89"/>
      <c r="E131" s="89"/>
      <c r="F131" s="228"/>
      <c r="G131" s="89"/>
      <c r="H131" s="66" t="str">
        <f>VLOOKUP(A131,'Tot KPA'!A:H,8,0)</f>
        <v>Capital Expenditure</v>
      </c>
    </row>
    <row r="132" spans="1:8" hidden="1" x14ac:dyDescent="0.35">
      <c r="A132" s="66" t="s">
        <v>3012</v>
      </c>
      <c r="B132" s="89">
        <v>0</v>
      </c>
      <c r="C132" s="89"/>
      <c r="D132" s="89"/>
      <c r="E132" s="89"/>
      <c r="F132" s="228"/>
      <c r="G132" s="89"/>
      <c r="H132" s="66" t="str">
        <f>VLOOKUP(A132,'Tot KPA'!A:H,8,0)</f>
        <v>Remuneration of councillors</v>
      </c>
    </row>
    <row r="133" spans="1:8" hidden="1" x14ac:dyDescent="0.35">
      <c r="A133" s="66" t="s">
        <v>3010</v>
      </c>
      <c r="B133" s="89">
        <v>0</v>
      </c>
      <c r="C133" s="89"/>
      <c r="D133" s="89"/>
      <c r="E133" s="89"/>
      <c r="F133" s="228"/>
      <c r="G133" s="89"/>
      <c r="H133" s="66" t="str">
        <f>VLOOKUP(A133,'Tot KPA'!A:H,8,0)</f>
        <v>Remuneration of councillors</v>
      </c>
    </row>
    <row r="134" spans="1:8" hidden="1" x14ac:dyDescent="0.35">
      <c r="A134" s="66" t="s">
        <v>3013</v>
      </c>
      <c r="B134" s="89">
        <v>0</v>
      </c>
      <c r="C134" s="89"/>
      <c r="D134" s="89"/>
      <c r="E134" s="89"/>
      <c r="F134" s="228"/>
      <c r="G134" s="89"/>
      <c r="H134" s="66" t="str">
        <f>VLOOKUP(A134,'Tot KPA'!A:H,8,0)</f>
        <v>Remuneration of councillors</v>
      </c>
    </row>
    <row r="135" spans="1:8" hidden="1" x14ac:dyDescent="0.35">
      <c r="A135" s="66" t="s">
        <v>3011</v>
      </c>
      <c r="B135" s="89">
        <v>0</v>
      </c>
      <c r="C135" s="89"/>
      <c r="D135" s="89"/>
      <c r="E135" s="89"/>
      <c r="F135" s="228"/>
      <c r="G135" s="89"/>
      <c r="H135" s="66" t="str">
        <f>VLOOKUP(A135,'Tot KPA'!A:H,8,0)</f>
        <v>Remuneration of councillors</v>
      </c>
    </row>
    <row r="136" spans="1:8" hidden="1" x14ac:dyDescent="0.35">
      <c r="A136" s="66" t="s">
        <v>2848</v>
      </c>
      <c r="B136" s="89">
        <v>0</v>
      </c>
      <c r="C136" s="89"/>
      <c r="D136" s="89"/>
      <c r="E136" s="89"/>
      <c r="F136" s="228"/>
      <c r="G136" s="89"/>
      <c r="H136" s="66" t="str">
        <f>VLOOKUP(A136,'Tot KPA'!A:H,8,0)</f>
        <v>Other expenditure</v>
      </c>
    </row>
    <row r="137" spans="1:8" hidden="1" x14ac:dyDescent="0.35">
      <c r="A137" s="66" t="s">
        <v>3005</v>
      </c>
      <c r="B137" s="89">
        <v>0</v>
      </c>
      <c r="C137" s="89"/>
      <c r="D137" s="89"/>
      <c r="E137" s="89"/>
      <c r="F137" s="228"/>
      <c r="G137" s="89"/>
      <c r="H137" s="66" t="str">
        <f>VLOOKUP(A137,'Tot KPA'!A:H,8,0)</f>
        <v>Debt impairment</v>
      </c>
    </row>
    <row r="138" spans="1:8" hidden="1" x14ac:dyDescent="0.35">
      <c r="A138" s="66" t="s">
        <v>3009</v>
      </c>
      <c r="B138" s="89">
        <v>0</v>
      </c>
      <c r="C138" s="89"/>
      <c r="D138" s="89"/>
      <c r="E138" s="89"/>
      <c r="F138" s="228"/>
      <c r="G138" s="89"/>
      <c r="H138" s="66" t="str">
        <f>VLOOKUP(A138,'Tot KPA'!A:H,8,0)</f>
        <v>Debt impairment</v>
      </c>
    </row>
    <row r="139" spans="1:8" hidden="1" x14ac:dyDescent="0.35">
      <c r="A139" s="66" t="s">
        <v>3004</v>
      </c>
      <c r="B139" s="89">
        <v>0</v>
      </c>
      <c r="C139" s="89"/>
      <c r="D139" s="89"/>
      <c r="E139" s="89"/>
      <c r="F139" s="228"/>
      <c r="G139" s="89"/>
      <c r="H139" s="66" t="str">
        <f>VLOOKUP(A139,'Tot KPA'!A:H,8,0)</f>
        <v>Debt impairment</v>
      </c>
    </row>
    <row r="140" spans="1:8" hidden="1" x14ac:dyDescent="0.35">
      <c r="A140" s="66" t="s">
        <v>3008</v>
      </c>
      <c r="B140" s="89">
        <v>0</v>
      </c>
      <c r="C140" s="89"/>
      <c r="D140" s="89"/>
      <c r="E140" s="89"/>
      <c r="F140" s="228"/>
      <c r="G140" s="89"/>
      <c r="H140" s="66" t="str">
        <f>VLOOKUP(A140,'Tot KPA'!A:H,8,0)</f>
        <v>Debt impairment</v>
      </c>
    </row>
    <row r="141" spans="1:8" hidden="1" x14ac:dyDescent="0.35">
      <c r="A141" s="66" t="s">
        <v>3007</v>
      </c>
      <c r="B141" s="89">
        <v>0</v>
      </c>
      <c r="C141" s="89"/>
      <c r="D141" s="89"/>
      <c r="E141" s="89"/>
      <c r="F141" s="228"/>
      <c r="G141" s="89"/>
      <c r="H141" s="66" t="str">
        <f>VLOOKUP(A141,'Tot KPA'!A:H,8,0)</f>
        <v>Debt impairment</v>
      </c>
    </row>
    <row r="142" spans="1:8" hidden="1" x14ac:dyDescent="0.35">
      <c r="A142" s="66" t="s">
        <v>3006</v>
      </c>
      <c r="B142" s="89">
        <v>0</v>
      </c>
      <c r="C142" s="89"/>
      <c r="D142" s="89"/>
      <c r="E142" s="89"/>
      <c r="F142" s="228"/>
      <c r="G142" s="89"/>
      <c r="H142" s="66" t="str">
        <f>VLOOKUP(A142,'Tot KPA'!A:H,8,0)</f>
        <v>Debt impairment</v>
      </c>
    </row>
    <row r="143" spans="1:8" hidden="1" x14ac:dyDescent="0.35">
      <c r="A143" s="66" t="s">
        <v>2983</v>
      </c>
      <c r="B143" s="89">
        <v>0</v>
      </c>
      <c r="C143" s="89"/>
      <c r="D143" s="89"/>
      <c r="E143" s="89"/>
      <c r="F143" s="228"/>
      <c r="G143" s="89"/>
      <c r="H143" s="66" t="str">
        <f>VLOOKUP(A143,'Tot KPA'!A:H,8,0)</f>
        <v>Other expenditure</v>
      </c>
    </row>
    <row r="144" spans="1:8" hidden="1" x14ac:dyDescent="0.35">
      <c r="A144" s="66" t="s">
        <v>2978</v>
      </c>
      <c r="B144" s="89">
        <v>0</v>
      </c>
      <c r="C144" s="89"/>
      <c r="D144" s="89"/>
      <c r="E144" s="89"/>
      <c r="F144" s="228"/>
      <c r="G144" s="89"/>
      <c r="H144" s="66" t="str">
        <f>VLOOKUP(A144,'Tot KPA'!A:H,8,0)</f>
        <v>Other expenditure</v>
      </c>
    </row>
    <row r="145" spans="1:8" hidden="1" x14ac:dyDescent="0.35">
      <c r="A145" s="66" t="s">
        <v>2849</v>
      </c>
      <c r="B145" s="89">
        <v>0</v>
      </c>
      <c r="C145" s="89"/>
      <c r="D145" s="89"/>
      <c r="E145" s="89"/>
      <c r="F145" s="228"/>
      <c r="G145" s="89"/>
      <c r="H145" s="66" t="str">
        <f>VLOOKUP(A145,'Tot KPA'!A:H,8,0)</f>
        <v>Depreciation and asset impairment</v>
      </c>
    </row>
    <row r="146" spans="1:8" hidden="1" x14ac:dyDescent="0.35">
      <c r="A146" s="66" t="s">
        <v>3000</v>
      </c>
      <c r="B146" s="89">
        <v>0</v>
      </c>
      <c r="C146" s="89"/>
      <c r="D146" s="89"/>
      <c r="E146" s="89"/>
      <c r="F146" s="228"/>
      <c r="G146" s="89"/>
      <c r="H146" s="66" t="str">
        <f>VLOOKUP(A146,'Tot KPA'!A:H,8,0)</f>
        <v>Contracted Services</v>
      </c>
    </row>
    <row r="147" spans="1:8" hidden="1" x14ac:dyDescent="0.35">
      <c r="A147" s="66" t="s">
        <v>3421</v>
      </c>
      <c r="B147" s="89"/>
      <c r="C147" s="89"/>
      <c r="D147" s="89"/>
      <c r="E147" s="89"/>
      <c r="F147" s="228"/>
      <c r="G147" s="89"/>
      <c r="H147" s="66" t="str">
        <f>VLOOKUP(A147,'Tot KPA'!A:H,8,0)</f>
        <v>Transfers</v>
      </c>
    </row>
    <row r="148" spans="1:8" hidden="1" x14ac:dyDescent="0.35">
      <c r="A148" s="66" t="s">
        <v>2879</v>
      </c>
      <c r="B148" s="89">
        <v>0</v>
      </c>
      <c r="C148" s="89"/>
      <c r="D148" s="89"/>
      <c r="E148" s="89"/>
      <c r="F148" s="228"/>
      <c r="G148" s="89"/>
      <c r="H148" s="66" t="str">
        <f>VLOOKUP(A148,'Tot KPA'!A:H,8,0)</f>
        <v>Transfers</v>
      </c>
    </row>
    <row r="149" spans="1:8" hidden="1" x14ac:dyDescent="0.35">
      <c r="A149" s="66" t="s">
        <v>3422</v>
      </c>
      <c r="B149" s="89"/>
      <c r="C149" s="89"/>
      <c r="D149" s="89"/>
      <c r="E149" s="89"/>
      <c r="F149" s="228"/>
      <c r="G149" s="89"/>
      <c r="H149" s="66" t="str">
        <f>VLOOKUP(A149,'Tot KPA'!A:H,8,0)</f>
        <v>Transfers</v>
      </c>
    </row>
    <row r="150" spans="1:8" hidden="1" x14ac:dyDescent="0.35">
      <c r="A150" s="66" t="s">
        <v>2881</v>
      </c>
      <c r="B150" s="89">
        <v>0</v>
      </c>
      <c r="C150" s="89"/>
      <c r="D150" s="89"/>
      <c r="E150" s="89"/>
      <c r="F150" s="228"/>
      <c r="G150" s="89"/>
      <c r="H150" s="66" t="str">
        <f>VLOOKUP(A150,'Tot KPA'!A:H,8,0)</f>
        <v>Transfers</v>
      </c>
    </row>
    <row r="151" spans="1:8" hidden="1" x14ac:dyDescent="0.35">
      <c r="A151" s="66" t="s">
        <v>2882</v>
      </c>
      <c r="B151" s="89">
        <v>0</v>
      </c>
      <c r="C151" s="89"/>
      <c r="D151" s="89"/>
      <c r="E151" s="89"/>
      <c r="F151" s="228"/>
      <c r="G151" s="89"/>
      <c r="H151" s="66" t="str">
        <f>VLOOKUP(A151,'Tot KPA'!A:H,8,0)</f>
        <v>Transfers</v>
      </c>
    </row>
    <row r="152" spans="1:8" hidden="1" x14ac:dyDescent="0.35">
      <c r="A152" s="66" t="s">
        <v>3423</v>
      </c>
      <c r="B152" s="89"/>
      <c r="C152" s="89"/>
      <c r="D152" s="89"/>
      <c r="E152" s="89"/>
      <c r="F152" s="228"/>
      <c r="G152" s="89"/>
      <c r="H152" s="66" t="str">
        <f>VLOOKUP(A152,'Tot KPA'!A:H,8,0)</f>
        <v>Transfers</v>
      </c>
    </row>
    <row r="153" spans="1:8" hidden="1" x14ac:dyDescent="0.35">
      <c r="A153" s="66" t="s">
        <v>2880</v>
      </c>
      <c r="B153" s="89">
        <v>0</v>
      </c>
      <c r="C153" s="89"/>
      <c r="D153" s="89"/>
      <c r="E153" s="89"/>
      <c r="F153" s="228"/>
      <c r="G153" s="89"/>
      <c r="H153" s="66" t="str">
        <f>VLOOKUP(A153,'Tot KPA'!A:H,8,0)</f>
        <v>Transfers</v>
      </c>
    </row>
    <row r="154" spans="1:8" hidden="1" x14ac:dyDescent="0.35">
      <c r="A154" s="66" t="s">
        <v>2883</v>
      </c>
      <c r="B154" s="89">
        <v>0</v>
      </c>
      <c r="C154" s="89"/>
      <c r="D154" s="89"/>
      <c r="E154" s="89"/>
      <c r="F154" s="228"/>
      <c r="G154" s="89"/>
      <c r="H154" s="66" t="str">
        <f>VLOOKUP(A154,'Tot KPA'!A:H,8,0)</f>
        <v>Transfers</v>
      </c>
    </row>
    <row r="155" spans="1:8" hidden="1" x14ac:dyDescent="0.35">
      <c r="A155" s="66" t="s">
        <v>2878</v>
      </c>
      <c r="B155" s="89">
        <v>0</v>
      </c>
      <c r="C155" s="89"/>
      <c r="D155" s="89"/>
      <c r="E155" s="89"/>
      <c r="F155" s="228"/>
      <c r="G155" s="89"/>
      <c r="H155" s="66" t="str">
        <f>VLOOKUP(A155,'Tot KPA'!A:H,8,0)</f>
        <v>Transfers</v>
      </c>
    </row>
    <row r="156" spans="1:8" hidden="1" x14ac:dyDescent="0.35">
      <c r="A156" s="66" t="s">
        <v>3014</v>
      </c>
      <c r="B156" s="89">
        <v>0</v>
      </c>
      <c r="C156" s="89"/>
      <c r="D156" s="89"/>
      <c r="E156" s="89"/>
      <c r="F156" s="228"/>
      <c r="G156" s="89"/>
      <c r="H156" s="66" t="str">
        <f>VLOOKUP(A156,'Tot KPA'!A:H,8,0)</f>
        <v>Bulk purchases</v>
      </c>
    </row>
    <row r="157" spans="1:8" hidden="1" x14ac:dyDescent="0.35">
      <c r="A157" s="66" t="s">
        <v>2961</v>
      </c>
      <c r="B157" s="89">
        <v>0</v>
      </c>
      <c r="C157" s="89"/>
      <c r="D157" s="89"/>
      <c r="E157" s="89"/>
      <c r="F157" s="228"/>
      <c r="G157" s="89"/>
      <c r="H157" s="66" t="str">
        <f>VLOOKUP(A157,'Tot KPA'!A:H,8,0)</f>
        <v>Other expenditure</v>
      </c>
    </row>
    <row r="158" spans="1:8" x14ac:dyDescent="0.35">
      <c r="A158" s="66" t="s">
        <v>2901</v>
      </c>
      <c r="B158" s="89">
        <v>900</v>
      </c>
      <c r="C158" s="89"/>
      <c r="D158" s="89">
        <v>900</v>
      </c>
      <c r="E158" s="89">
        <v>400</v>
      </c>
      <c r="F158" s="228">
        <v>400</v>
      </c>
      <c r="G158" s="89">
        <v>400</v>
      </c>
      <c r="H158" s="66" t="str">
        <f>VLOOKUP(A158,'Tot KPA'!A:H,8,0)</f>
        <v>Employee related cost</v>
      </c>
    </row>
    <row r="159" spans="1:8" x14ac:dyDescent="0.35">
      <c r="A159" s="66" t="s">
        <v>2902</v>
      </c>
      <c r="B159" s="89">
        <v>98800</v>
      </c>
      <c r="C159" s="89"/>
      <c r="D159" s="89">
        <v>98800</v>
      </c>
      <c r="E159" s="89">
        <v>65400</v>
      </c>
      <c r="F159" s="228">
        <v>68900</v>
      </c>
      <c r="G159" s="89">
        <v>72600</v>
      </c>
      <c r="H159" s="66" t="str">
        <f>VLOOKUP(A159,'Tot KPA'!A:H,8,0)</f>
        <v>Employee related cost</v>
      </c>
    </row>
    <row r="160" spans="1:8" hidden="1" x14ac:dyDescent="0.35">
      <c r="A160" s="66" t="s">
        <v>2903</v>
      </c>
      <c r="B160" s="89">
        <v>0</v>
      </c>
      <c r="C160" s="89"/>
      <c r="D160" s="89">
        <v>0</v>
      </c>
      <c r="E160" s="89">
        <f>+B160*1.06</f>
        <v>0</v>
      </c>
      <c r="F160" s="228"/>
      <c r="G160" s="89"/>
      <c r="H160" s="66" t="str">
        <f>VLOOKUP(A160,'Tot KPA'!A:H,8,0)</f>
        <v>Employee related cost</v>
      </c>
    </row>
    <row r="161" spans="1:8" x14ac:dyDescent="0.35">
      <c r="A161" s="66" t="s">
        <v>2900</v>
      </c>
      <c r="B161" s="89">
        <v>9500</v>
      </c>
      <c r="C161" s="89"/>
      <c r="D161" s="89">
        <v>9500</v>
      </c>
      <c r="E161" s="89">
        <v>11000</v>
      </c>
      <c r="F161" s="228">
        <v>11000</v>
      </c>
      <c r="G161" s="89">
        <v>11000</v>
      </c>
      <c r="H161" s="66" t="str">
        <f>VLOOKUP(A161,'Tot KPA'!A:H,8,0)</f>
        <v>Employee related cost</v>
      </c>
    </row>
    <row r="162" spans="1:8" hidden="1" x14ac:dyDescent="0.35">
      <c r="A162" s="66" t="s">
        <v>3398</v>
      </c>
      <c r="B162" s="89">
        <v>0</v>
      </c>
      <c r="C162" s="89"/>
      <c r="D162" s="89"/>
      <c r="E162" s="89"/>
      <c r="F162" s="228"/>
      <c r="G162" s="89"/>
      <c r="H162" s="66" t="str">
        <f>VLOOKUP(A162,'Tot KPA'!A:H,8,0)</f>
        <v>Employee related cost</v>
      </c>
    </row>
    <row r="163" spans="1:8" hidden="1" x14ac:dyDescent="0.35">
      <c r="A163" s="66" t="s">
        <v>3399</v>
      </c>
      <c r="B163" s="89">
        <v>0</v>
      </c>
      <c r="C163" s="89"/>
      <c r="D163" s="89"/>
      <c r="E163" s="89"/>
      <c r="F163" s="228"/>
      <c r="G163" s="89"/>
      <c r="H163" s="66" t="str">
        <f>VLOOKUP(A163,'Tot KPA'!A:H,8,0)</f>
        <v>Employee related cost</v>
      </c>
    </row>
    <row r="164" spans="1:8" x14ac:dyDescent="0.35">
      <c r="A164" s="66" t="s">
        <v>2984</v>
      </c>
      <c r="B164" s="89">
        <v>97200</v>
      </c>
      <c r="C164" s="89"/>
      <c r="D164" s="89">
        <v>97200</v>
      </c>
      <c r="E164" s="89">
        <v>41800</v>
      </c>
      <c r="F164" s="228">
        <v>44100</v>
      </c>
      <c r="G164" s="89">
        <v>46500</v>
      </c>
      <c r="H164" s="66" t="str">
        <f>VLOOKUP(A164,'Tot KPA'!A:H,8,0)</f>
        <v>Employee related cost</v>
      </c>
    </row>
    <row r="165" spans="1:8" hidden="1" x14ac:dyDescent="0.35">
      <c r="A165" s="66" t="s">
        <v>2904</v>
      </c>
      <c r="B165" s="89">
        <v>0</v>
      </c>
      <c r="C165" s="89"/>
      <c r="D165" s="89">
        <v>0</v>
      </c>
      <c r="E165" s="89">
        <f>+B165*1.06</f>
        <v>0</v>
      </c>
      <c r="F165" s="228"/>
      <c r="G165" s="89"/>
      <c r="H165" s="66" t="str">
        <f>VLOOKUP(A165,'Tot KPA'!A:H,8,0)</f>
        <v>Employee related cost</v>
      </c>
    </row>
    <row r="166" spans="1:8" x14ac:dyDescent="0.35">
      <c r="A166" s="66" t="s">
        <v>2905</v>
      </c>
      <c r="B166" s="89">
        <v>87200</v>
      </c>
      <c r="C166" s="89"/>
      <c r="D166" s="89">
        <v>87200</v>
      </c>
      <c r="E166" s="89">
        <v>44400</v>
      </c>
      <c r="F166" s="228">
        <v>46800</v>
      </c>
      <c r="G166" s="89">
        <v>49400</v>
      </c>
      <c r="H166" s="66" t="str">
        <f>VLOOKUP(A166,'Tot KPA'!A:H,8,0)</f>
        <v>Employee related cost</v>
      </c>
    </row>
    <row r="167" spans="1:8" hidden="1" x14ac:dyDescent="0.35">
      <c r="A167" s="66" t="s">
        <v>3039</v>
      </c>
      <c r="B167" s="89">
        <v>0</v>
      </c>
      <c r="C167" s="89"/>
      <c r="D167" s="89">
        <v>0</v>
      </c>
      <c r="E167" s="89">
        <f>+B167*1.06</f>
        <v>0</v>
      </c>
      <c r="F167" s="228"/>
      <c r="G167" s="89"/>
      <c r="H167" s="66" t="str">
        <f>VLOOKUP(A167,'Tot KPA'!A:H,8,0)</f>
        <v>Employee related cost</v>
      </c>
    </row>
    <row r="168" spans="1:8" x14ac:dyDescent="0.35">
      <c r="A168" s="66" t="s">
        <v>2906</v>
      </c>
      <c r="B168" s="89">
        <f>1186000-200000</f>
        <v>986000</v>
      </c>
      <c r="C168" s="89"/>
      <c r="D168" s="89">
        <f>1186000-200000</f>
        <v>986000</v>
      </c>
      <c r="E168" s="89">
        <v>927500</v>
      </c>
      <c r="F168" s="228">
        <v>977600</v>
      </c>
      <c r="G168" s="89">
        <v>1030400</v>
      </c>
      <c r="H168" s="66" t="str">
        <f>VLOOKUP(A168,'Tot KPA'!A:H,8,0)</f>
        <v>Employee related cost</v>
      </c>
    </row>
    <row r="169" spans="1:8" hidden="1" x14ac:dyDescent="0.35">
      <c r="A169" s="66" t="s">
        <v>3040</v>
      </c>
      <c r="B169" s="89">
        <v>0</v>
      </c>
      <c r="C169" s="89"/>
      <c r="D169" s="89">
        <v>0</v>
      </c>
      <c r="E169" s="89">
        <f>+B169*1.06</f>
        <v>0</v>
      </c>
      <c r="F169" s="228"/>
      <c r="G169" s="89"/>
      <c r="H169" s="66" t="str">
        <f>VLOOKUP(A169,'Tot KPA'!A:H,8,0)</f>
        <v>Employee related cost</v>
      </c>
    </row>
    <row r="170" spans="1:8" hidden="1" x14ac:dyDescent="0.35">
      <c r="A170" s="66" t="s">
        <v>2907</v>
      </c>
      <c r="B170" s="89">
        <v>0</v>
      </c>
      <c r="C170" s="89"/>
      <c r="D170" s="89">
        <v>0</v>
      </c>
      <c r="E170" s="89">
        <f>+B170*1.06</f>
        <v>0</v>
      </c>
      <c r="F170" s="228"/>
      <c r="G170" s="89"/>
      <c r="H170" s="66" t="str">
        <f>VLOOKUP(A170,'Tot KPA'!A:H,8,0)</f>
        <v>Employee related cost</v>
      </c>
    </row>
    <row r="171" spans="1:8" hidden="1" x14ac:dyDescent="0.35">
      <c r="A171" s="66" t="s">
        <v>2908</v>
      </c>
      <c r="B171" s="89">
        <v>0</v>
      </c>
      <c r="C171" s="89"/>
      <c r="D171" s="89">
        <v>0</v>
      </c>
      <c r="E171" s="89">
        <f>+B171*1.06</f>
        <v>0</v>
      </c>
      <c r="F171" s="228"/>
      <c r="G171" s="89"/>
      <c r="H171" s="66" t="str">
        <f>VLOOKUP(A171,'Tot KPA'!A:H,8,0)</f>
        <v>Employee related cost</v>
      </c>
    </row>
    <row r="172" spans="1:8" hidden="1" x14ac:dyDescent="0.35">
      <c r="A172" s="66" t="s">
        <v>2909</v>
      </c>
      <c r="B172" s="89">
        <v>0</v>
      </c>
      <c r="C172" s="89"/>
      <c r="D172" s="89">
        <v>0</v>
      </c>
      <c r="E172" s="89">
        <f>+B172*1.06</f>
        <v>0</v>
      </c>
      <c r="F172" s="228"/>
      <c r="G172" s="89"/>
      <c r="H172" s="66" t="str">
        <f>VLOOKUP(A172,'Tot KPA'!A:H,8,0)</f>
        <v>Employee related cost</v>
      </c>
    </row>
    <row r="173" spans="1:8" x14ac:dyDescent="0.35">
      <c r="A173" s="66" t="s">
        <v>2910</v>
      </c>
      <c r="B173" s="89">
        <v>11500</v>
      </c>
      <c r="C173" s="89"/>
      <c r="D173" s="89">
        <v>11500</v>
      </c>
      <c r="E173" s="89">
        <v>5800</v>
      </c>
      <c r="F173" s="228">
        <v>6200</v>
      </c>
      <c r="G173" s="89">
        <v>6600</v>
      </c>
      <c r="H173" s="66" t="str">
        <f>VLOOKUP(A173,'Tot KPA'!A:H,8,0)</f>
        <v>Employee related cost</v>
      </c>
    </row>
    <row r="174" spans="1:8" hidden="1" x14ac:dyDescent="0.35">
      <c r="A174" s="66" t="s">
        <v>3125</v>
      </c>
      <c r="B174" s="89">
        <v>0</v>
      </c>
      <c r="C174" s="89"/>
      <c r="D174" s="89"/>
      <c r="E174" s="89"/>
      <c r="F174" s="228"/>
      <c r="G174" s="89"/>
      <c r="H174" s="66" t="str">
        <f>VLOOKUP(A174,'Tot KPA'!A:H,8,0)</f>
        <v>Capital Expenditure</v>
      </c>
    </row>
    <row r="175" spans="1:8" hidden="1" x14ac:dyDescent="0.35">
      <c r="A175" s="66" t="s">
        <v>3126</v>
      </c>
      <c r="B175" s="89"/>
      <c r="C175" s="89"/>
      <c r="D175" s="89"/>
      <c r="E175" s="89"/>
      <c r="F175" s="228"/>
      <c r="G175" s="89"/>
      <c r="H175" s="66" t="str">
        <f>VLOOKUP(A175,'Tot KPA'!A:H,8,0)</f>
        <v>Capital Expenditure</v>
      </c>
    </row>
    <row r="176" spans="1:8" hidden="1" x14ac:dyDescent="0.35">
      <c r="A176" s="66" t="s">
        <v>2986</v>
      </c>
      <c r="B176" s="89">
        <v>0</v>
      </c>
      <c r="C176" s="89"/>
      <c r="D176" s="89"/>
      <c r="E176" s="89"/>
      <c r="F176" s="228"/>
      <c r="G176" s="89"/>
      <c r="H176" s="66" t="str">
        <f>VLOOKUP(A176,'Tot KPA'!A:H,8,0)</f>
        <v>Other expenditure</v>
      </c>
    </row>
    <row r="177" spans="1:8" hidden="1" x14ac:dyDescent="0.35">
      <c r="A177" s="66" t="s">
        <v>2995</v>
      </c>
      <c r="B177" s="89">
        <v>0</v>
      </c>
      <c r="C177" s="89"/>
      <c r="D177" s="89"/>
      <c r="E177" s="89"/>
      <c r="F177" s="228"/>
      <c r="G177" s="89"/>
      <c r="H177" s="66" t="str">
        <f>VLOOKUP(A177,'Tot KPA'!A:H,8,0)</f>
        <v>Other expenditure</v>
      </c>
    </row>
    <row r="178" spans="1:8" hidden="1" x14ac:dyDescent="0.35">
      <c r="A178" s="66" t="s">
        <v>2994</v>
      </c>
      <c r="B178" s="89">
        <v>0</v>
      </c>
      <c r="C178" s="89"/>
      <c r="D178" s="89"/>
      <c r="E178" s="89"/>
      <c r="F178" s="228"/>
      <c r="G178" s="89"/>
      <c r="H178" s="66" t="str">
        <f>VLOOKUP(A178,'Tot KPA'!A:H,8,0)</f>
        <v>Other expenditure</v>
      </c>
    </row>
    <row r="179" spans="1:8" hidden="1" x14ac:dyDescent="0.35">
      <c r="A179" s="66" t="s">
        <v>2999</v>
      </c>
      <c r="B179" s="89">
        <v>0</v>
      </c>
      <c r="C179" s="89"/>
      <c r="D179" s="89"/>
      <c r="E179" s="89"/>
      <c r="F179" s="228"/>
      <c r="G179" s="89"/>
      <c r="H179" s="66" t="str">
        <f>VLOOKUP(A179,'Tot KPA'!A:H,8,0)</f>
        <v>Transfers</v>
      </c>
    </row>
    <row r="180" spans="1:8" hidden="1" x14ac:dyDescent="0.35">
      <c r="A180" s="66" t="s">
        <v>2998</v>
      </c>
      <c r="B180" s="89">
        <v>0</v>
      </c>
      <c r="C180" s="89"/>
      <c r="D180" s="89"/>
      <c r="E180" s="89"/>
      <c r="F180" s="228"/>
      <c r="G180" s="89"/>
      <c r="H180" s="66" t="str">
        <f>VLOOKUP(A180,'Tot KPA'!A:H,8,0)</f>
        <v>Transfers</v>
      </c>
    </row>
    <row r="181" spans="1:8" hidden="1" x14ac:dyDescent="0.35">
      <c r="A181" s="66" t="s">
        <v>2996</v>
      </c>
      <c r="B181" s="89">
        <v>0</v>
      </c>
      <c r="C181" s="89"/>
      <c r="D181" s="89"/>
      <c r="E181" s="89"/>
      <c r="F181" s="228"/>
      <c r="G181" s="89"/>
      <c r="H181" s="66" t="str">
        <f>VLOOKUP(A181,'Tot KPA'!A:H,8,0)</f>
        <v>Other expenditure</v>
      </c>
    </row>
    <row r="182" spans="1:8" hidden="1" x14ac:dyDescent="0.35">
      <c r="A182" s="66" t="s">
        <v>2997</v>
      </c>
      <c r="B182" s="89">
        <v>0</v>
      </c>
      <c r="C182" s="89"/>
      <c r="D182" s="89"/>
      <c r="E182" s="89"/>
      <c r="F182" s="228"/>
      <c r="G182" s="89"/>
      <c r="H182" s="66" t="str">
        <f>VLOOKUP(A182,'Tot KPA'!A:H,8,0)</f>
        <v>Other expenditure</v>
      </c>
    </row>
    <row r="183" spans="1:8" hidden="1" x14ac:dyDescent="0.35">
      <c r="A183" s="66" t="s">
        <v>2993</v>
      </c>
      <c r="B183" s="89">
        <v>0</v>
      </c>
      <c r="C183" s="89"/>
      <c r="D183" s="89"/>
      <c r="E183" s="89"/>
      <c r="F183" s="228"/>
      <c r="G183" s="89"/>
      <c r="H183" s="66" t="str">
        <f>VLOOKUP(A183,'Tot KPA'!A:H,8,0)</f>
        <v>Other expenditure</v>
      </c>
    </row>
    <row r="184" spans="1:8" hidden="1" x14ac:dyDescent="0.35">
      <c r="A184" s="66" t="s">
        <v>3065</v>
      </c>
      <c r="B184" s="89">
        <v>0</v>
      </c>
      <c r="C184" s="89"/>
      <c r="D184" s="89"/>
      <c r="E184" s="89"/>
      <c r="F184" s="228"/>
      <c r="G184" s="89"/>
      <c r="H184" s="66" t="str">
        <f>VLOOKUP(A184,'Tot KPA'!A:H,8,0)</f>
        <v>Other expenditure</v>
      </c>
    </row>
    <row r="185" spans="1:8" hidden="1" x14ac:dyDescent="0.35">
      <c r="A185" s="66" t="s">
        <v>3064</v>
      </c>
      <c r="B185" s="89">
        <v>0</v>
      </c>
      <c r="C185" s="89"/>
      <c r="D185" s="89"/>
      <c r="E185" s="89"/>
      <c r="F185" s="228"/>
      <c r="G185" s="89"/>
      <c r="H185" s="66" t="str">
        <f>VLOOKUP(A185,'Tot KPA'!A:H,8,0)</f>
        <v>Finance Charges</v>
      </c>
    </row>
    <row r="186" spans="1:8" hidden="1" x14ac:dyDescent="0.35">
      <c r="A186" s="66" t="s">
        <v>2734</v>
      </c>
      <c r="B186" s="89">
        <v>0</v>
      </c>
      <c r="C186" s="89"/>
      <c r="D186" s="89"/>
      <c r="E186" s="89"/>
      <c r="F186" s="228"/>
      <c r="G186" s="89"/>
      <c r="H186" s="66" t="str">
        <f>VLOOKUP(A186,'Tot KPA'!A:H,8,0)</f>
        <v>Other expenditure</v>
      </c>
    </row>
    <row r="187" spans="1:8" hidden="1" x14ac:dyDescent="0.35">
      <c r="A187" s="66" t="s">
        <v>3061</v>
      </c>
      <c r="B187" s="89">
        <v>0</v>
      </c>
      <c r="C187" s="89"/>
      <c r="D187" s="89"/>
      <c r="E187" s="89"/>
      <c r="F187" s="228"/>
      <c r="G187" s="89"/>
      <c r="H187" s="66" t="str">
        <f>VLOOKUP(A187,'Tot KPA'!A:H,8,0)</f>
        <v>Other expenditure</v>
      </c>
    </row>
    <row r="188" spans="1:8" hidden="1" x14ac:dyDescent="0.35">
      <c r="A188" s="66" t="s">
        <v>3060</v>
      </c>
      <c r="B188" s="89">
        <v>0</v>
      </c>
      <c r="C188" s="89"/>
      <c r="D188" s="89"/>
      <c r="E188" s="89"/>
      <c r="F188" s="228"/>
      <c r="G188" s="89"/>
      <c r="H188" s="66" t="str">
        <f>VLOOKUP(A188,'Tot KPA'!A:H,8,0)</f>
        <v>Finance Charges</v>
      </c>
    </row>
    <row r="189" spans="1:8" hidden="1" x14ac:dyDescent="0.35">
      <c r="A189" s="66" t="s">
        <v>2891</v>
      </c>
      <c r="B189" s="89">
        <v>0</v>
      </c>
      <c r="C189" s="89"/>
      <c r="D189" s="89"/>
      <c r="E189" s="89"/>
      <c r="F189" s="228"/>
      <c r="G189" s="89"/>
      <c r="H189" s="66" t="str">
        <f>VLOOKUP(A189,'Tot KPA'!A:H,8,0)</f>
        <v>Other materials</v>
      </c>
    </row>
    <row r="190" spans="1:8" hidden="1" x14ac:dyDescent="0.35">
      <c r="A190" s="66" t="s">
        <v>3478</v>
      </c>
      <c r="B190" s="89"/>
      <c r="C190" s="89"/>
      <c r="D190" s="89"/>
      <c r="E190" s="89"/>
      <c r="F190" s="228"/>
      <c r="G190" s="89"/>
      <c r="H190" s="66" t="str">
        <f>VLOOKUP(A190,'Tot KPA'!A:H,8,0)</f>
        <v>Capital Expenditure</v>
      </c>
    </row>
    <row r="191" spans="1:8" x14ac:dyDescent="0.35">
      <c r="A191" s="66" t="s">
        <v>2851</v>
      </c>
      <c r="B191" s="89">
        <v>10000</v>
      </c>
      <c r="C191" s="89"/>
      <c r="D191" s="89">
        <v>10000</v>
      </c>
      <c r="E191" s="89">
        <f>30600-8700</f>
        <v>21900</v>
      </c>
      <c r="F191" s="228">
        <v>29000</v>
      </c>
      <c r="G191" s="89">
        <v>32000</v>
      </c>
      <c r="H191" s="66" t="str">
        <f>VLOOKUP(A191,'Tot KPA'!A:H,8,0)</f>
        <v>Other expenditure</v>
      </c>
    </row>
    <row r="192" spans="1:8" hidden="1" x14ac:dyDescent="0.35">
      <c r="A192" s="66" t="s">
        <v>3047</v>
      </c>
      <c r="B192" s="89">
        <v>0</v>
      </c>
      <c r="C192" s="89"/>
      <c r="D192" s="89"/>
      <c r="E192" s="89"/>
      <c r="F192" s="228"/>
      <c r="G192" s="89"/>
      <c r="H192" s="66" t="str">
        <f>VLOOKUP(A192,'Tot KPA'!A:H,8,0)</f>
        <v>Other expenditure</v>
      </c>
    </row>
    <row r="193" spans="1:8" hidden="1" x14ac:dyDescent="0.35">
      <c r="A193" s="66" t="s">
        <v>2853</v>
      </c>
      <c r="B193" s="89">
        <v>0</v>
      </c>
      <c r="C193" s="89"/>
      <c r="D193" s="89"/>
      <c r="E193" s="89"/>
      <c r="F193" s="228"/>
      <c r="G193" s="89"/>
      <c r="H193" s="66" t="str">
        <f>VLOOKUP(A193,'Tot KPA'!A:H,8,0)</f>
        <v>Contracted services</v>
      </c>
    </row>
    <row r="194" spans="1:8" x14ac:dyDescent="0.35">
      <c r="A194" s="66" t="s">
        <v>3043</v>
      </c>
      <c r="B194" s="89">
        <v>26600</v>
      </c>
      <c r="C194" s="89"/>
      <c r="D194" s="89">
        <v>24189.26</v>
      </c>
      <c r="E194" s="89">
        <f>28200+7000-3000</f>
        <v>32200</v>
      </c>
      <c r="F194" s="228">
        <v>42000</v>
      </c>
      <c r="G194" s="89">
        <v>42000</v>
      </c>
      <c r="H194" s="229" t="str">
        <f>VLOOKUP(A194,'Tot KPA'!A:H,8,0)</f>
        <v>Transfers</v>
      </c>
    </row>
    <row r="195" spans="1:8" x14ac:dyDescent="0.35">
      <c r="A195" s="66" t="s">
        <v>3045</v>
      </c>
      <c r="B195" s="89">
        <v>81600</v>
      </c>
      <c r="C195" s="89"/>
      <c r="D195" s="89">
        <v>80145.39</v>
      </c>
      <c r="E195" s="89">
        <v>86500</v>
      </c>
      <c r="F195" s="228">
        <v>98500</v>
      </c>
      <c r="G195" s="89">
        <v>102000</v>
      </c>
      <c r="H195" s="66" t="str">
        <f>VLOOKUP(A195,'Tot KPA'!A:H,8,0)</f>
        <v>Other expenditure</v>
      </c>
    </row>
    <row r="196" spans="1:8" x14ac:dyDescent="0.35">
      <c r="A196" s="66" t="s">
        <v>3044</v>
      </c>
      <c r="B196" s="89">
        <v>36000</v>
      </c>
      <c r="C196" s="89"/>
      <c r="D196" s="89">
        <v>36000</v>
      </c>
      <c r="E196" s="89">
        <v>4000</v>
      </c>
      <c r="F196" s="228">
        <v>4000</v>
      </c>
      <c r="G196" s="89">
        <v>4000</v>
      </c>
      <c r="H196" s="66" t="str">
        <f>VLOOKUP(A196,'Tot KPA'!A:H,8,0)</f>
        <v>Other expenditure</v>
      </c>
    </row>
    <row r="197" spans="1:8" hidden="1" x14ac:dyDescent="0.35">
      <c r="A197" s="66" t="s">
        <v>2916</v>
      </c>
      <c r="B197" s="89">
        <v>0</v>
      </c>
      <c r="C197" s="89"/>
      <c r="D197" s="89"/>
      <c r="E197" s="89"/>
      <c r="F197" s="228"/>
      <c r="G197" s="89"/>
      <c r="H197" s="66" t="str">
        <f>VLOOKUP(A197,'Tot KPA'!A:H,8,0)</f>
        <v>Other expenditure</v>
      </c>
    </row>
    <row r="198" spans="1:8" hidden="1" x14ac:dyDescent="0.35">
      <c r="A198" s="66" t="s">
        <v>2856</v>
      </c>
      <c r="B198" s="89">
        <v>0</v>
      </c>
      <c r="C198" s="89"/>
      <c r="D198" s="89"/>
      <c r="E198" s="89"/>
      <c r="F198" s="228"/>
      <c r="G198" s="89"/>
      <c r="H198" s="66" t="str">
        <f>VLOOKUP(A198,'Tot KPA'!A:H,8,0)</f>
        <v>Losses</v>
      </c>
    </row>
    <row r="199" spans="1:8" hidden="1" x14ac:dyDescent="0.35">
      <c r="A199" s="66" t="s">
        <v>2987</v>
      </c>
      <c r="B199" s="89">
        <v>1500</v>
      </c>
      <c r="C199" s="89"/>
      <c r="D199" s="89">
        <v>1450</v>
      </c>
      <c r="E199" s="89"/>
      <c r="F199" s="228"/>
      <c r="G199" s="89"/>
      <c r="H199" s="66" t="str">
        <f>VLOOKUP(A199,'Tot KPA'!A:H,8,0)</f>
        <v>Other expenditure</v>
      </c>
    </row>
    <row r="200" spans="1:8" x14ac:dyDescent="0.35">
      <c r="A200" s="66" t="s">
        <v>3038</v>
      </c>
      <c r="B200" s="89">
        <v>0</v>
      </c>
      <c r="C200" s="89"/>
      <c r="D200" s="89"/>
      <c r="E200" s="89">
        <v>10600</v>
      </c>
      <c r="F200" s="228">
        <v>15600</v>
      </c>
      <c r="G200" s="89">
        <v>15600</v>
      </c>
      <c r="H200" s="66" t="str">
        <f>VLOOKUP(A200,'Tot KPA'!A:H,8,0)</f>
        <v>Contracted services</v>
      </c>
    </row>
    <row r="201" spans="1:8" hidden="1" x14ac:dyDescent="0.35">
      <c r="A201" s="66" t="s">
        <v>3031</v>
      </c>
      <c r="B201" s="89">
        <v>0</v>
      </c>
      <c r="C201" s="89"/>
      <c r="D201" s="89"/>
      <c r="E201" s="89"/>
      <c r="F201" s="228"/>
      <c r="G201" s="89"/>
      <c r="H201" s="66" t="str">
        <f>VLOOKUP(A201,'Tot KPA'!A:H,8,0)</f>
        <v>Contracted services</v>
      </c>
    </row>
    <row r="202" spans="1:8" x14ac:dyDescent="0.35">
      <c r="A202" s="66" t="s">
        <v>3035</v>
      </c>
      <c r="B202" s="89">
        <v>6000</v>
      </c>
      <c r="C202" s="89"/>
      <c r="D202" s="89">
        <v>6000</v>
      </c>
      <c r="E202" s="89">
        <v>8000</v>
      </c>
      <c r="F202" s="228">
        <v>18000</v>
      </c>
      <c r="G202" s="89">
        <v>19000</v>
      </c>
      <c r="H202" s="66" t="str">
        <f>VLOOKUP(A202,'Tot KPA'!A:H,8,0)</f>
        <v>Contracted services</v>
      </c>
    </row>
    <row r="203" spans="1:8" x14ac:dyDescent="0.35">
      <c r="A203" s="66" t="s">
        <v>3026</v>
      </c>
      <c r="B203" s="89">
        <v>0</v>
      </c>
      <c r="C203" s="89"/>
      <c r="D203" s="89"/>
      <c r="E203" s="89">
        <v>12800</v>
      </c>
      <c r="F203" s="228">
        <v>19000</v>
      </c>
      <c r="G203" s="89">
        <v>21000</v>
      </c>
      <c r="H203" s="66" t="str">
        <f>VLOOKUP(A203,'Tot KPA'!A:H,8,0)</f>
        <v>Contracted services</v>
      </c>
    </row>
    <row r="204" spans="1:8" hidden="1" x14ac:dyDescent="0.35">
      <c r="A204" s="66" t="s">
        <v>3027</v>
      </c>
      <c r="B204" s="89">
        <v>0</v>
      </c>
      <c r="C204" s="89"/>
      <c r="D204" s="89"/>
      <c r="E204" s="89"/>
      <c r="F204" s="228"/>
      <c r="G204" s="89"/>
      <c r="H204" s="66" t="str">
        <f>VLOOKUP(A204,'Tot KPA'!A:H,8,0)</f>
        <v>Contracted services</v>
      </c>
    </row>
    <row r="205" spans="1:8" hidden="1" x14ac:dyDescent="0.35">
      <c r="A205" s="66" t="s">
        <v>3025</v>
      </c>
      <c r="B205" s="89">
        <v>0</v>
      </c>
      <c r="C205" s="89"/>
      <c r="D205" s="89"/>
      <c r="E205" s="89"/>
      <c r="F205" s="228"/>
      <c r="G205" s="89"/>
      <c r="H205" s="66" t="str">
        <f>VLOOKUP(A205,'Tot KPA'!A:H,8,0)</f>
        <v>Contracted services</v>
      </c>
    </row>
    <row r="206" spans="1:8" hidden="1" x14ac:dyDescent="0.35">
      <c r="A206" s="66" t="s">
        <v>3028</v>
      </c>
      <c r="B206" s="89">
        <v>0</v>
      </c>
      <c r="C206" s="89"/>
      <c r="D206" s="89"/>
      <c r="E206" s="89"/>
      <c r="F206" s="228"/>
      <c r="G206" s="89"/>
      <c r="H206" s="66" t="str">
        <f>VLOOKUP(A206,'Tot KPA'!A:H,8,0)</f>
        <v>Contracted services</v>
      </c>
    </row>
    <row r="207" spans="1:8" x14ac:dyDescent="0.35">
      <c r="A207" s="66" t="s">
        <v>3036</v>
      </c>
      <c r="B207" s="89">
        <f>15000-3000</f>
        <v>12000</v>
      </c>
      <c r="C207" s="89"/>
      <c r="D207" s="89">
        <v>12000</v>
      </c>
      <c r="E207" s="89">
        <v>12800</v>
      </c>
      <c r="F207" s="228">
        <f>22000-4100</f>
        <v>17900</v>
      </c>
      <c r="G207" s="89">
        <f>24000-4300</f>
        <v>19700</v>
      </c>
      <c r="H207" s="66" t="str">
        <f>VLOOKUP(A207,'Tot KPA'!A:H,8,0)</f>
        <v>Contracted services</v>
      </c>
    </row>
    <row r="208" spans="1:8" hidden="1" x14ac:dyDescent="0.35">
      <c r="A208" s="66" t="s">
        <v>3057</v>
      </c>
      <c r="B208" s="89">
        <v>0</v>
      </c>
      <c r="C208" s="89"/>
      <c r="D208" s="89"/>
      <c r="E208" s="89"/>
      <c r="F208" s="228"/>
      <c r="G208" s="89"/>
      <c r="H208" s="66" t="str">
        <f>VLOOKUP(A208,'Tot KPA'!A:H,8,0)</f>
        <v>Contracted services</v>
      </c>
    </row>
    <row r="209" spans="1:8" hidden="1" x14ac:dyDescent="0.35">
      <c r="A209" s="66" t="s">
        <v>3034</v>
      </c>
      <c r="B209" s="89">
        <v>0</v>
      </c>
      <c r="C209" s="89"/>
      <c r="D209" s="89"/>
      <c r="E209" s="89"/>
      <c r="F209" s="228"/>
      <c r="G209" s="89"/>
      <c r="H209" s="66" t="str">
        <f>VLOOKUP(A209,'Tot KPA'!A:H,8,0)</f>
        <v>Contracted services</v>
      </c>
    </row>
    <row r="210" spans="1:8" hidden="1" x14ac:dyDescent="0.35">
      <c r="A210" s="66" t="s">
        <v>3033</v>
      </c>
      <c r="B210" s="89">
        <v>0</v>
      </c>
      <c r="C210" s="89"/>
      <c r="D210" s="89"/>
      <c r="E210" s="89"/>
      <c r="F210" s="228"/>
      <c r="G210" s="89"/>
      <c r="H210" s="66" t="str">
        <f>VLOOKUP(A210,'Tot KPA'!A:H,8,0)</f>
        <v>Contracted services</v>
      </c>
    </row>
    <row r="211" spans="1:8" hidden="1" x14ac:dyDescent="0.35">
      <c r="A211" s="66" t="s">
        <v>3029</v>
      </c>
      <c r="B211" s="89">
        <v>0</v>
      </c>
      <c r="C211" s="89"/>
      <c r="D211" s="89"/>
      <c r="E211" s="89"/>
      <c r="F211" s="228"/>
      <c r="G211" s="89"/>
      <c r="H211" s="66" t="str">
        <f>VLOOKUP(A211,'Tot KPA'!A:H,8,0)</f>
        <v>Contracted services</v>
      </c>
    </row>
    <row r="212" spans="1:8" hidden="1" x14ac:dyDescent="0.35">
      <c r="A212" s="66" t="s">
        <v>3030</v>
      </c>
      <c r="B212" s="89">
        <v>0</v>
      </c>
      <c r="C212" s="89"/>
      <c r="D212" s="89"/>
      <c r="E212" s="89"/>
      <c r="F212" s="228"/>
      <c r="G212" s="89"/>
      <c r="H212" s="66" t="str">
        <f>VLOOKUP(A212,'Tot KPA'!A:H,8,0)</f>
        <v>Contracted services</v>
      </c>
    </row>
    <row r="213" spans="1:8" hidden="1" x14ac:dyDescent="0.35">
      <c r="A213" s="66" t="s">
        <v>2933</v>
      </c>
      <c r="B213" s="89">
        <v>0</v>
      </c>
      <c r="C213" s="89"/>
      <c r="D213" s="89"/>
      <c r="E213" s="89"/>
      <c r="F213" s="228"/>
      <c r="G213" s="89"/>
      <c r="H213" s="66" t="str">
        <f>VLOOKUP(A213,'Tot KPA'!A:H,8,0)</f>
        <v>Transfers</v>
      </c>
    </row>
    <row r="214" spans="1:8" hidden="1" x14ac:dyDescent="0.35">
      <c r="A214" s="66" t="s">
        <v>2923</v>
      </c>
      <c r="B214" s="89">
        <v>0</v>
      </c>
      <c r="C214" s="89"/>
      <c r="D214" s="89"/>
      <c r="E214" s="89"/>
      <c r="F214" s="228"/>
      <c r="G214" s="89"/>
      <c r="H214" s="66" t="str">
        <f>VLOOKUP(A214,'Tot KPA'!A:H,8,0)</f>
        <v>Transfers</v>
      </c>
    </row>
    <row r="215" spans="1:8" hidden="1" x14ac:dyDescent="0.35">
      <c r="A215" s="66" t="s">
        <v>2926</v>
      </c>
      <c r="B215" s="89">
        <v>0</v>
      </c>
      <c r="C215" s="89"/>
      <c r="D215" s="89"/>
      <c r="E215" s="89"/>
      <c r="F215" s="228"/>
      <c r="G215" s="89"/>
      <c r="H215" s="66" t="str">
        <f>VLOOKUP(A215,'Tot KPA'!A:H,8,0)</f>
        <v>Transfers</v>
      </c>
    </row>
    <row r="216" spans="1:8" hidden="1" x14ac:dyDescent="0.35">
      <c r="A216" s="66" t="s">
        <v>2934</v>
      </c>
      <c r="B216" s="89">
        <v>0</v>
      </c>
      <c r="C216" s="89"/>
      <c r="D216" s="89"/>
      <c r="E216" s="89"/>
      <c r="F216" s="228"/>
      <c r="G216" s="89"/>
      <c r="H216" s="66" t="str">
        <f>VLOOKUP(A216,'Tot KPA'!A:H,8,0)</f>
        <v>Transfers</v>
      </c>
    </row>
    <row r="217" spans="1:8" hidden="1" x14ac:dyDescent="0.35">
      <c r="A217" s="66" t="s">
        <v>2925</v>
      </c>
      <c r="B217" s="89">
        <v>0</v>
      </c>
      <c r="C217" s="89"/>
      <c r="D217" s="89"/>
      <c r="E217" s="89"/>
      <c r="F217" s="228"/>
      <c r="G217" s="89"/>
      <c r="H217" s="66" t="str">
        <f>VLOOKUP(A217,'Tot KPA'!A:H,8,0)</f>
        <v>Transfers</v>
      </c>
    </row>
    <row r="218" spans="1:8" hidden="1" x14ac:dyDescent="0.35">
      <c r="A218" s="66" t="s">
        <v>2929</v>
      </c>
      <c r="B218" s="89">
        <v>0</v>
      </c>
      <c r="C218" s="89"/>
      <c r="D218" s="89"/>
      <c r="E218" s="89"/>
      <c r="F218" s="228"/>
      <c r="G218" s="89"/>
      <c r="H218" s="66" t="str">
        <f>VLOOKUP(A218,'Tot KPA'!A:H,8,0)</f>
        <v>Transfers</v>
      </c>
    </row>
    <row r="219" spans="1:8" hidden="1" x14ac:dyDescent="0.35">
      <c r="A219" s="66" t="s">
        <v>2932</v>
      </c>
      <c r="B219" s="89">
        <v>0</v>
      </c>
      <c r="C219" s="89"/>
      <c r="D219" s="89"/>
      <c r="E219" s="89"/>
      <c r="F219" s="228"/>
      <c r="G219" s="89"/>
      <c r="H219" s="66" t="str">
        <f>VLOOKUP(A219,'Tot KPA'!A:H,8,0)</f>
        <v>Transfers</v>
      </c>
    </row>
    <row r="220" spans="1:8" hidden="1" x14ac:dyDescent="0.35">
      <c r="A220" s="66" t="s">
        <v>2924</v>
      </c>
      <c r="B220" s="89">
        <v>0</v>
      </c>
      <c r="C220" s="89"/>
      <c r="D220" s="89"/>
      <c r="E220" s="89"/>
      <c r="F220" s="228"/>
      <c r="G220" s="89"/>
      <c r="H220" s="66" t="str">
        <f>VLOOKUP(A220,'Tot KPA'!A:H,8,0)</f>
        <v>Transfers</v>
      </c>
    </row>
    <row r="221" spans="1:8" hidden="1" x14ac:dyDescent="0.35">
      <c r="A221" s="66" t="s">
        <v>2931</v>
      </c>
      <c r="B221" s="89">
        <v>0</v>
      </c>
      <c r="C221" s="89"/>
      <c r="D221" s="89"/>
      <c r="E221" s="89"/>
      <c r="F221" s="228"/>
      <c r="G221" s="89"/>
      <c r="H221" s="66" t="str">
        <f>VLOOKUP(A221,'Tot KPA'!A:H,8,0)</f>
        <v>Transfers</v>
      </c>
    </row>
    <row r="222" spans="1:8" hidden="1" x14ac:dyDescent="0.35">
      <c r="A222" s="66" t="s">
        <v>2930</v>
      </c>
      <c r="B222" s="89">
        <v>0</v>
      </c>
      <c r="C222" s="89"/>
      <c r="D222" s="89"/>
      <c r="E222" s="89"/>
      <c r="F222" s="228"/>
      <c r="G222" s="89"/>
      <c r="H222" s="66" t="str">
        <f>VLOOKUP(A222,'Tot KPA'!A:H,8,0)</f>
        <v>Transfers</v>
      </c>
    </row>
    <row r="223" spans="1:8" hidden="1" x14ac:dyDescent="0.35">
      <c r="A223" s="66" t="s">
        <v>2927</v>
      </c>
      <c r="B223" s="89">
        <v>0</v>
      </c>
      <c r="C223" s="89"/>
      <c r="D223" s="89"/>
      <c r="E223" s="89"/>
      <c r="F223" s="228"/>
      <c r="G223" s="89"/>
      <c r="H223" s="66" t="str">
        <f>VLOOKUP(A223,'Tot KPA'!A:H,8,0)</f>
        <v>Transfers</v>
      </c>
    </row>
    <row r="224" spans="1:8" hidden="1" x14ac:dyDescent="0.35">
      <c r="A224" s="66" t="s">
        <v>2928</v>
      </c>
      <c r="B224" s="89">
        <v>0</v>
      </c>
      <c r="C224" s="89"/>
      <c r="D224" s="89"/>
      <c r="E224" s="89"/>
      <c r="F224" s="228"/>
      <c r="G224" s="89"/>
      <c r="H224" s="66" t="str">
        <f>VLOOKUP(A224,'Tot KPA'!A:H,8,0)</f>
        <v>Transfers</v>
      </c>
    </row>
    <row r="225" spans="1:8" x14ac:dyDescent="0.35">
      <c r="A225" s="66" t="s">
        <v>2743</v>
      </c>
      <c r="B225" s="89">
        <v>2800</v>
      </c>
      <c r="C225" s="89"/>
      <c r="D225" s="89">
        <v>2800</v>
      </c>
      <c r="E225" s="89">
        <v>3000</v>
      </c>
      <c r="F225" s="228">
        <v>4500</v>
      </c>
      <c r="G225" s="89">
        <v>4800</v>
      </c>
      <c r="H225" s="66" t="str">
        <f>VLOOKUP(A225,'Tot KPA'!A:H,8,0)</f>
        <v>Other expenditure</v>
      </c>
    </row>
    <row r="226" spans="1:8" hidden="1" x14ac:dyDescent="0.35">
      <c r="A226" s="66" t="s">
        <v>3122</v>
      </c>
      <c r="B226" s="89"/>
      <c r="C226" s="89"/>
      <c r="D226" s="89"/>
      <c r="E226" s="89"/>
      <c r="F226" s="228"/>
      <c r="G226" s="89"/>
      <c r="H226" s="66" t="str">
        <f>VLOOKUP(A226,'Tot KPA'!A:H,8,0)</f>
        <v>Capital Expenditure</v>
      </c>
    </row>
    <row r="227" spans="1:8" hidden="1" x14ac:dyDescent="0.35">
      <c r="A227" s="66" t="s">
        <v>3120</v>
      </c>
      <c r="B227" s="89"/>
      <c r="C227" s="89"/>
      <c r="D227" s="89"/>
      <c r="E227" s="89"/>
      <c r="F227" s="228"/>
      <c r="G227" s="89"/>
      <c r="H227" s="66" t="str">
        <f>VLOOKUP(A227,'Tot KPA'!A:H,8,0)</f>
        <v>Capital Expenditure</v>
      </c>
    </row>
    <row r="228" spans="1:8" hidden="1" x14ac:dyDescent="0.35">
      <c r="A228" s="66" t="s">
        <v>3119</v>
      </c>
      <c r="B228" s="89"/>
      <c r="C228" s="89"/>
      <c r="D228" s="89"/>
      <c r="E228" s="89"/>
      <c r="F228" s="228"/>
      <c r="G228" s="89"/>
      <c r="H228" s="66" t="str">
        <f>VLOOKUP(A228,'Tot KPA'!A:H,8,0)</f>
        <v>Capital Expenditure</v>
      </c>
    </row>
    <row r="229" spans="1:8" hidden="1" x14ac:dyDescent="0.35">
      <c r="A229" s="66" t="s">
        <v>3118</v>
      </c>
      <c r="B229" s="89">
        <v>0</v>
      </c>
      <c r="C229" s="89"/>
      <c r="D229" s="89"/>
      <c r="E229" s="89"/>
      <c r="F229" s="228"/>
      <c r="G229" s="89"/>
      <c r="H229" s="66" t="str">
        <f>VLOOKUP(A229,'Tot KPA'!A:H,8,0)</f>
        <v>Capital Expenditure</v>
      </c>
    </row>
    <row r="230" spans="1:8" hidden="1" x14ac:dyDescent="0.35">
      <c r="A230" s="66" t="s">
        <v>3123</v>
      </c>
      <c r="B230" s="89"/>
      <c r="C230" s="89"/>
      <c r="D230" s="89"/>
      <c r="E230" s="89"/>
      <c r="F230" s="228"/>
      <c r="G230" s="89"/>
      <c r="H230" s="66" t="str">
        <f>VLOOKUP(A230,'Tot KPA'!A:H,8,0)</f>
        <v>Capital Expenditure</v>
      </c>
    </row>
    <row r="231" spans="1:8" hidden="1" x14ac:dyDescent="0.35">
      <c r="A231" s="66" t="s">
        <v>3121</v>
      </c>
      <c r="B231" s="89"/>
      <c r="C231" s="89"/>
      <c r="D231" s="89"/>
      <c r="E231" s="89"/>
      <c r="F231" s="228"/>
      <c r="G231" s="89"/>
      <c r="H231" s="66" t="str">
        <f>VLOOKUP(A231,'Tot KPA'!A:H,8,0)</f>
        <v>Capital Expenditure</v>
      </c>
    </row>
    <row r="232" spans="1:8" hidden="1" x14ac:dyDescent="0.35">
      <c r="A232" s="66" t="s">
        <v>3124</v>
      </c>
      <c r="B232" s="89"/>
      <c r="C232" s="89"/>
      <c r="D232" s="89"/>
      <c r="E232" s="89"/>
      <c r="F232" s="228"/>
      <c r="G232" s="89"/>
      <c r="H232" s="66" t="str">
        <f>VLOOKUP(A232,'Tot KPA'!A:H,8,0)</f>
        <v>Capital Expenditure</v>
      </c>
    </row>
    <row r="233" spans="1:8" x14ac:dyDescent="0.35">
      <c r="A233" s="66" t="s">
        <v>2859</v>
      </c>
      <c r="B233" s="89">
        <v>24000</v>
      </c>
      <c r="C233" s="89"/>
      <c r="D233" s="89">
        <v>23900</v>
      </c>
      <c r="E233" s="89">
        <v>25500</v>
      </c>
      <c r="F233" s="228">
        <v>31500</v>
      </c>
      <c r="G233" s="89">
        <v>32500</v>
      </c>
      <c r="H233" s="66" t="str">
        <f>VLOOKUP(A233,'Tot KPA'!A:H,8,0)</f>
        <v>Other expenditure</v>
      </c>
    </row>
    <row r="234" spans="1:8" hidden="1" x14ac:dyDescent="0.35">
      <c r="A234" s="66" t="s">
        <v>2648</v>
      </c>
      <c r="B234" s="89">
        <v>0</v>
      </c>
      <c r="C234" s="89"/>
      <c r="D234" s="89"/>
      <c r="E234" s="89"/>
      <c r="F234" s="228"/>
      <c r="G234" s="89"/>
      <c r="H234" s="66" t="str">
        <f>VLOOKUP(A234,'Tot KPA'!A:H,8,0)</f>
        <v>Contracted services</v>
      </c>
    </row>
    <row r="235" spans="1:8" hidden="1" x14ac:dyDescent="0.35">
      <c r="A235" s="66" t="s">
        <v>2860</v>
      </c>
      <c r="B235" s="89">
        <v>0</v>
      </c>
      <c r="C235" s="89"/>
      <c r="D235" s="89"/>
      <c r="E235" s="89"/>
      <c r="F235" s="228"/>
      <c r="G235" s="89"/>
      <c r="H235" s="66" t="str">
        <f>VLOOKUP(A235,'Tot KPA'!A:H,8,0)</f>
        <v>Other expenditure</v>
      </c>
    </row>
    <row r="236" spans="1:8" hidden="1" x14ac:dyDescent="0.35">
      <c r="A236" s="66" t="s">
        <v>2861</v>
      </c>
      <c r="B236" s="89">
        <v>0</v>
      </c>
      <c r="C236" s="89"/>
      <c r="D236" s="89"/>
      <c r="E236" s="89"/>
      <c r="F236" s="228"/>
      <c r="G236" s="89"/>
      <c r="H236" s="66" t="str">
        <f>VLOOKUP(A236,'Tot KPA'!A:H,8,0)</f>
        <v>Other expenditure</v>
      </c>
    </row>
    <row r="237" spans="1:8" hidden="1" x14ac:dyDescent="0.35">
      <c r="A237" s="66" t="s">
        <v>3427</v>
      </c>
      <c r="B237" s="89"/>
      <c r="C237" s="89"/>
      <c r="D237" s="89"/>
      <c r="E237" s="89"/>
      <c r="F237" s="228"/>
      <c r="G237" s="89"/>
      <c r="H237" s="66" t="str">
        <f>VLOOKUP(A237,'Tot KPA'!A:H,8,0)</f>
        <v>Capital Expenditure</v>
      </c>
    </row>
    <row r="238" spans="1:8" hidden="1" x14ac:dyDescent="0.35">
      <c r="A238" s="66" t="s">
        <v>3041</v>
      </c>
      <c r="B238" s="89">
        <v>0</v>
      </c>
      <c r="C238" s="89"/>
      <c r="D238" s="89"/>
      <c r="E238" s="89"/>
      <c r="F238" s="228"/>
      <c r="G238" s="89"/>
      <c r="H238" s="66" t="str">
        <f>VLOOKUP(A238,'Tot KPA'!A:H,8,0)</f>
        <v>Other materials</v>
      </c>
    </row>
    <row r="239" spans="1:8" x14ac:dyDescent="0.35">
      <c r="A239" s="66" t="s">
        <v>2862</v>
      </c>
      <c r="B239" s="89">
        <v>27600</v>
      </c>
      <c r="C239" s="89"/>
      <c r="D239" s="89">
        <v>27600</v>
      </c>
      <c r="E239" s="89">
        <v>27600</v>
      </c>
      <c r="F239" s="228">
        <v>27600</v>
      </c>
      <c r="G239" s="89">
        <v>27600</v>
      </c>
      <c r="H239" s="66" t="str">
        <f>VLOOKUP(A239,'Tot KPA'!A:H,8,0)</f>
        <v>Other expenditure</v>
      </c>
    </row>
    <row r="240" spans="1:8" hidden="1" x14ac:dyDescent="0.35">
      <c r="A240" s="66" t="s">
        <v>2914</v>
      </c>
      <c r="B240" s="89">
        <v>0</v>
      </c>
      <c r="C240" s="89"/>
      <c r="D240" s="89"/>
      <c r="E240" s="89"/>
      <c r="F240" s="228"/>
      <c r="G240" s="89"/>
      <c r="H240" s="66" t="str">
        <f>VLOOKUP(A240,'Tot KPA'!A:H,8,0)</f>
        <v>Contracted services</v>
      </c>
    </row>
    <row r="241" spans="1:8" hidden="1" x14ac:dyDescent="0.35">
      <c r="A241" s="66" t="s">
        <v>2913</v>
      </c>
      <c r="B241" s="89">
        <v>0</v>
      </c>
      <c r="C241" s="89"/>
      <c r="D241" s="89"/>
      <c r="E241" s="89"/>
      <c r="F241" s="228"/>
      <c r="G241" s="89"/>
      <c r="H241" s="66" t="e">
        <f>VLOOKUP(A241,'Tot KPA'!A:H,8,0)</f>
        <v>#N/A</v>
      </c>
    </row>
    <row r="242" spans="1:8" hidden="1" x14ac:dyDescent="0.35">
      <c r="A242" s="66" t="s">
        <v>2911</v>
      </c>
      <c r="B242" s="89">
        <v>0</v>
      </c>
      <c r="C242" s="89"/>
      <c r="D242" s="89"/>
      <c r="E242" s="89"/>
      <c r="F242" s="228"/>
      <c r="G242" s="89"/>
      <c r="H242" s="66" t="str">
        <f>VLOOKUP(A242,'Tot KPA'!A:H,8,0)</f>
        <v>Contracted services</v>
      </c>
    </row>
    <row r="243" spans="1:8" hidden="1" x14ac:dyDescent="0.35">
      <c r="A243" s="66" t="s">
        <v>2917</v>
      </c>
      <c r="B243" s="89">
        <v>0</v>
      </c>
      <c r="C243" s="89"/>
      <c r="D243" s="89"/>
      <c r="E243" s="89"/>
      <c r="F243" s="228"/>
      <c r="G243" s="89"/>
      <c r="H243" s="66" t="e">
        <f>VLOOKUP(A243,'Tot KPA'!A:H,8,0)</f>
        <v>#N/A</v>
      </c>
    </row>
    <row r="244" spans="1:8" hidden="1" x14ac:dyDescent="0.35">
      <c r="A244" s="66" t="s">
        <v>2915</v>
      </c>
      <c r="B244" s="89">
        <v>0</v>
      </c>
      <c r="C244" s="89"/>
      <c r="D244" s="89"/>
      <c r="E244" s="89"/>
      <c r="F244" s="228"/>
      <c r="G244" s="89"/>
      <c r="H244" s="66" t="str">
        <f>VLOOKUP(A244,'Tot KPA'!A:H,8,0)</f>
        <v>Contracted services</v>
      </c>
    </row>
    <row r="245" spans="1:8" hidden="1" x14ac:dyDescent="0.35">
      <c r="A245" s="66" t="s">
        <v>3417</v>
      </c>
      <c r="B245" s="89">
        <v>0</v>
      </c>
      <c r="C245" s="89"/>
      <c r="D245" s="89"/>
      <c r="E245" s="89"/>
      <c r="F245" s="228"/>
      <c r="G245" s="89"/>
      <c r="H245" s="66" t="str">
        <f>VLOOKUP(A245,'Tot KPA'!A:H,8,0)</f>
        <v>Contracted services</v>
      </c>
    </row>
    <row r="246" spans="1:8" x14ac:dyDescent="0.35">
      <c r="A246" s="66" t="s">
        <v>2918</v>
      </c>
      <c r="B246" s="89">
        <v>9600</v>
      </c>
      <c r="C246" s="89"/>
      <c r="D246" s="89">
        <v>13927</v>
      </c>
      <c r="E246" s="89">
        <v>14800</v>
      </c>
      <c r="F246" s="228">
        <v>18000</v>
      </c>
      <c r="G246" s="89">
        <v>19500</v>
      </c>
      <c r="H246" s="66" t="str">
        <f>VLOOKUP(A246,'Tot KPA'!A:H,8,0)</f>
        <v>Contracted services</v>
      </c>
    </row>
    <row r="247" spans="1:8" x14ac:dyDescent="0.35">
      <c r="A247" s="66" t="s">
        <v>3439</v>
      </c>
      <c r="B247" s="89">
        <v>0</v>
      </c>
      <c r="C247" s="89"/>
      <c r="D247" s="89">
        <v>10800</v>
      </c>
      <c r="E247" s="89">
        <v>7900</v>
      </c>
      <c r="F247" s="228">
        <v>8700</v>
      </c>
      <c r="G247" s="89">
        <v>9000</v>
      </c>
      <c r="H247" s="66" t="str">
        <f>VLOOKUP(A247,'Tot KPA'!A:H,8,0)</f>
        <v>Other expenditure</v>
      </c>
    </row>
    <row r="248" spans="1:8" hidden="1" x14ac:dyDescent="0.35">
      <c r="A248" s="66" t="s">
        <v>3048</v>
      </c>
      <c r="B248" s="89">
        <v>0</v>
      </c>
      <c r="C248" s="89"/>
      <c r="D248" s="89"/>
      <c r="E248" s="89"/>
      <c r="F248" s="228"/>
      <c r="G248" s="89"/>
      <c r="H248" s="66" t="str">
        <f>VLOOKUP(A248,'Tot KPA'!A:H,8,0)</f>
        <v>Other expenditure</v>
      </c>
    </row>
    <row r="249" spans="1:8" x14ac:dyDescent="0.35">
      <c r="A249" s="66" t="s">
        <v>2864</v>
      </c>
      <c r="B249" s="89">
        <v>24000</v>
      </c>
      <c r="C249" s="89"/>
      <c r="D249" s="89">
        <v>21926</v>
      </c>
      <c r="E249" s="89">
        <v>25500</v>
      </c>
      <c r="F249" s="228">
        <v>33000</v>
      </c>
      <c r="G249" s="89">
        <v>35000</v>
      </c>
      <c r="H249" s="66" t="str">
        <f>VLOOKUP(A249,'Tot KPA'!A:H,8,0)</f>
        <v>Other Materials</v>
      </c>
    </row>
    <row r="250" spans="1:8" hidden="1" x14ac:dyDescent="0.35">
      <c r="A250" s="66" t="s">
        <v>3476</v>
      </c>
      <c r="B250" s="89">
        <v>8000</v>
      </c>
      <c r="C250" s="89"/>
      <c r="D250" s="89">
        <v>8000</v>
      </c>
      <c r="E250" s="89">
        <v>0</v>
      </c>
      <c r="F250" s="228">
        <v>0</v>
      </c>
      <c r="G250" s="89">
        <v>0</v>
      </c>
      <c r="H250" s="66" t="str">
        <f>VLOOKUP(A250,'Tot KPA'!A:H,8,0)</f>
        <v>Other expenditure</v>
      </c>
    </row>
    <row r="251" spans="1:8" hidden="1" x14ac:dyDescent="0.35">
      <c r="A251" s="66" t="s">
        <v>3418</v>
      </c>
      <c r="B251" s="89">
        <v>0</v>
      </c>
      <c r="C251" s="89"/>
      <c r="D251" s="89"/>
      <c r="E251" s="89"/>
      <c r="F251" s="228"/>
      <c r="G251" s="89"/>
      <c r="H251" s="66" t="str">
        <f>VLOOKUP(A251,'Tot KPA'!A:H,8,0)</f>
        <v>Contracted services</v>
      </c>
    </row>
    <row r="252" spans="1:8" x14ac:dyDescent="0.35">
      <c r="A252" s="66" t="s">
        <v>3042</v>
      </c>
      <c r="B252" s="89">
        <v>9600</v>
      </c>
      <c r="C252" s="89"/>
      <c r="D252" s="89">
        <v>3945</v>
      </c>
      <c r="E252" s="89">
        <v>14400</v>
      </c>
      <c r="F252" s="228">
        <v>18000</v>
      </c>
      <c r="G252" s="89">
        <v>19500</v>
      </c>
      <c r="H252" s="66" t="str">
        <f>VLOOKUP(A252,'Tot KPA'!A:H,8,0)</f>
        <v>Other expenditure</v>
      </c>
    </row>
    <row r="253" spans="1:8" hidden="1" x14ac:dyDescent="0.35">
      <c r="A253" s="66" t="s">
        <v>2988</v>
      </c>
      <c r="B253" s="89">
        <v>0</v>
      </c>
      <c r="C253" s="89">
        <v>0</v>
      </c>
      <c r="D253" s="89">
        <v>0</v>
      </c>
      <c r="E253" s="89">
        <v>0</v>
      </c>
      <c r="F253" s="228">
        <v>0</v>
      </c>
      <c r="G253" s="89">
        <v>0</v>
      </c>
      <c r="H253" s="66" t="str">
        <f>VLOOKUP(A253,'Tot KPA'!A:H,8,0)</f>
        <v>Other expenditure</v>
      </c>
    </row>
    <row r="254" spans="1:8" hidden="1" x14ac:dyDescent="0.35">
      <c r="A254" s="66" t="s">
        <v>2989</v>
      </c>
      <c r="B254" s="89">
        <v>0</v>
      </c>
      <c r="C254" s="89">
        <v>0</v>
      </c>
      <c r="D254" s="89">
        <v>0</v>
      </c>
      <c r="E254" s="89">
        <v>0</v>
      </c>
      <c r="F254" s="228">
        <v>0</v>
      </c>
      <c r="G254" s="89">
        <v>0</v>
      </c>
      <c r="H254" s="66" t="str">
        <f>VLOOKUP(A254,'Tot KPA'!A:H,8,0)</f>
        <v>Other expenditure</v>
      </c>
    </row>
    <row r="255" spans="1:8" x14ac:dyDescent="0.35">
      <c r="A255" s="66" t="s">
        <v>3447</v>
      </c>
      <c r="B255" s="89">
        <v>20000</v>
      </c>
      <c r="C255" s="89"/>
      <c r="D255" s="89">
        <v>20000</v>
      </c>
      <c r="E255" s="89">
        <f>21400+10100</f>
        <v>31500</v>
      </c>
      <c r="F255" s="228">
        <f>59000-3500</f>
        <v>55500</v>
      </c>
      <c r="G255" s="89">
        <v>59000</v>
      </c>
      <c r="H255" s="66" t="str">
        <f>VLOOKUP(A255,'Tot KPA'!A:H,8,0)</f>
        <v>Other expenditure</v>
      </c>
    </row>
    <row r="256" spans="1:8" hidden="1" x14ac:dyDescent="0.35">
      <c r="A256" s="66" t="s">
        <v>2892</v>
      </c>
      <c r="B256" s="89">
        <v>0</v>
      </c>
      <c r="C256" s="89">
        <v>0</v>
      </c>
      <c r="D256" s="89">
        <v>0</v>
      </c>
      <c r="E256" s="89">
        <v>0</v>
      </c>
      <c r="F256" s="89">
        <v>0</v>
      </c>
      <c r="G256" s="89">
        <v>0</v>
      </c>
      <c r="H256" s="66" t="str">
        <f>VLOOKUP(A256,'Tot KPA'!A:H,8,0)</f>
        <v>Other expenditure</v>
      </c>
    </row>
    <row r="257" spans="1:8" hidden="1" x14ac:dyDescent="0.35">
      <c r="A257" s="66" t="s">
        <v>2990</v>
      </c>
      <c r="B257" s="89">
        <v>0</v>
      </c>
      <c r="C257" s="89">
        <v>0</v>
      </c>
      <c r="D257" s="89">
        <v>0</v>
      </c>
      <c r="E257" s="89">
        <v>0</v>
      </c>
      <c r="F257" s="89">
        <v>0</v>
      </c>
      <c r="G257" s="89">
        <v>0</v>
      </c>
      <c r="H257" s="66" t="str">
        <f>VLOOKUP(A257,'Tot KPA'!A:H,8,0)</f>
        <v>Contracted services</v>
      </c>
    </row>
    <row r="258" spans="1:8" hidden="1" x14ac:dyDescent="0.35">
      <c r="A258" s="66" t="s">
        <v>2991</v>
      </c>
      <c r="B258" s="89">
        <v>0</v>
      </c>
      <c r="C258" s="89">
        <v>0</v>
      </c>
      <c r="D258" s="89">
        <v>0</v>
      </c>
      <c r="E258" s="89">
        <v>0</v>
      </c>
      <c r="F258" s="89">
        <v>0</v>
      </c>
      <c r="G258" s="89">
        <v>0</v>
      </c>
      <c r="H258" s="66" t="str">
        <f>VLOOKUP(A258,'Tot KPA'!A:H,8,0)</f>
        <v>Other expenditure</v>
      </c>
    </row>
    <row r="259" spans="1:8" hidden="1" x14ac:dyDescent="0.35">
      <c r="A259" s="66" t="s">
        <v>3054</v>
      </c>
      <c r="B259" s="89">
        <v>0</v>
      </c>
      <c r="C259" s="89">
        <v>0</v>
      </c>
      <c r="D259" s="89">
        <v>0</v>
      </c>
      <c r="E259" s="89">
        <v>0</v>
      </c>
      <c r="F259" s="89">
        <v>0</v>
      </c>
      <c r="G259" s="89">
        <v>0</v>
      </c>
      <c r="H259" s="66" t="str">
        <f>VLOOKUP(A259,'Tot KPA'!A:H,8,0)</f>
        <v>Other expenditure</v>
      </c>
    </row>
    <row r="260" spans="1:8" hidden="1" x14ac:dyDescent="0.35">
      <c r="A260" s="66" t="s">
        <v>2659</v>
      </c>
      <c r="B260" s="89">
        <v>0</v>
      </c>
      <c r="C260" s="89">
        <v>0</v>
      </c>
      <c r="D260" s="89">
        <v>0</v>
      </c>
      <c r="E260" s="89">
        <v>0</v>
      </c>
      <c r="F260" s="89">
        <v>0</v>
      </c>
      <c r="G260" s="89">
        <v>0</v>
      </c>
      <c r="H260" s="66" t="str">
        <f>VLOOKUP(A260,'Tot KPA'!A:H,8,0)</f>
        <v>Contracted services</v>
      </c>
    </row>
    <row r="261" spans="1:8" hidden="1" x14ac:dyDescent="0.35">
      <c r="A261" s="66" t="s">
        <v>2865</v>
      </c>
      <c r="B261" s="89">
        <v>0</v>
      </c>
      <c r="C261" s="89">
        <v>0</v>
      </c>
      <c r="D261" s="89">
        <v>0</v>
      </c>
      <c r="E261" s="89">
        <v>0</v>
      </c>
      <c r="F261" s="89">
        <v>0</v>
      </c>
      <c r="G261" s="89">
        <v>0</v>
      </c>
      <c r="H261" s="66" t="str">
        <f>VLOOKUP(A261,'Tot KPA'!A:H,8,0)</f>
        <v>Contracted services</v>
      </c>
    </row>
    <row r="262" spans="1:8" hidden="1" x14ac:dyDescent="0.35">
      <c r="A262" s="66" t="s">
        <v>3129</v>
      </c>
      <c r="B262" s="89">
        <v>0</v>
      </c>
      <c r="C262" s="89">
        <v>0</v>
      </c>
      <c r="D262" s="89">
        <v>0</v>
      </c>
      <c r="E262" s="89">
        <v>0</v>
      </c>
      <c r="F262" s="89">
        <v>0</v>
      </c>
      <c r="G262" s="89">
        <v>0</v>
      </c>
      <c r="H262" s="66" t="str">
        <f>VLOOKUP(A262,'Tot KPA'!A:H,8,0)</f>
        <v>Capital Expenditure</v>
      </c>
    </row>
    <row r="263" spans="1:8" hidden="1" x14ac:dyDescent="0.35">
      <c r="A263" s="66" t="s">
        <v>2962</v>
      </c>
      <c r="B263" s="89">
        <v>0</v>
      </c>
      <c r="C263" s="89">
        <v>0</v>
      </c>
      <c r="D263" s="89">
        <v>0</v>
      </c>
      <c r="E263" s="89">
        <v>0</v>
      </c>
      <c r="F263" s="89">
        <v>0</v>
      </c>
      <c r="G263" s="89">
        <v>0</v>
      </c>
      <c r="H263" s="66" t="str">
        <f>VLOOKUP(A263,'Tot KPA'!A:H,8,0)</f>
        <v>Other expenditure</v>
      </c>
    </row>
    <row r="264" spans="1:8" x14ac:dyDescent="0.35">
      <c r="A264" s="113"/>
      <c r="B264" s="113"/>
      <c r="C264" s="113"/>
      <c r="D264" s="111"/>
      <c r="E264" s="113"/>
      <c r="G264" s="113"/>
      <c r="H264" s="113"/>
    </row>
    <row r="265" spans="1:8" ht="15" thickBot="1" x14ac:dyDescent="0.4">
      <c r="A265" s="117" t="s">
        <v>2546</v>
      </c>
      <c r="B265" s="112">
        <f t="shared" ref="B265:G265" si="1">SUM(B101:B263)</f>
        <v>1610400</v>
      </c>
      <c r="C265" s="112">
        <f t="shared" si="1"/>
        <v>0</v>
      </c>
      <c r="D265" s="112">
        <f t="shared" si="1"/>
        <v>1611747.2399999998</v>
      </c>
      <c r="E265" s="112">
        <f t="shared" si="1"/>
        <v>1445900</v>
      </c>
      <c r="F265" s="112">
        <f t="shared" si="1"/>
        <v>1608000</v>
      </c>
      <c r="G265" s="112">
        <f t="shared" si="1"/>
        <v>1692300</v>
      </c>
      <c r="H265" s="113"/>
    </row>
    <row r="266" spans="1:8" ht="15" thickTop="1" x14ac:dyDescent="0.35">
      <c r="A266" s="113"/>
      <c r="B266" s="113"/>
      <c r="C266" s="113"/>
      <c r="D266" s="111"/>
      <c r="E266" s="113"/>
      <c r="G266" s="113"/>
      <c r="H266" s="113"/>
    </row>
    <row r="267" spans="1:8" ht="15" thickBot="1" x14ac:dyDescent="0.4">
      <c r="A267" s="117" t="s">
        <v>2674</v>
      </c>
      <c r="B267" s="112">
        <f t="shared" ref="B267:G267" si="2">+B97+B265</f>
        <v>-19400</v>
      </c>
      <c r="C267" s="112">
        <f t="shared" si="2"/>
        <v>0</v>
      </c>
      <c r="D267" s="112">
        <f t="shared" si="2"/>
        <v>150274.23999999976</v>
      </c>
      <c r="E267" s="112">
        <f t="shared" si="2"/>
        <v>-7800</v>
      </c>
      <c r="F267" s="112">
        <f t="shared" si="2"/>
        <v>-4100</v>
      </c>
      <c r="G267" s="112">
        <f t="shared" si="2"/>
        <v>-4300</v>
      </c>
      <c r="H267" s="113"/>
    </row>
    <row r="268" spans="1:8" ht="15" thickTop="1" x14ac:dyDescent="0.35"/>
  </sheetData>
  <pageMargins left="0.7" right="0.7" top="0.75" bottom="0.75" header="0.3" footer="0.3"/>
  <pageSetup scale="87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2D2B8-DEFE-45A8-BCD5-4B815C5C4644}">
  <dimension ref="A1:F29"/>
  <sheetViews>
    <sheetView topLeftCell="A7" workbookViewId="0">
      <selection activeCell="I24" sqref="I24"/>
    </sheetView>
  </sheetViews>
  <sheetFormatPr defaultRowHeight="14.5" x14ac:dyDescent="0.35"/>
  <cols>
    <col min="1" max="1" width="13.453125" customWidth="1"/>
    <col min="2" max="2" width="14.36328125" customWidth="1"/>
    <col min="3" max="3" width="14.1796875" customWidth="1"/>
    <col min="4" max="4" width="15.90625" customWidth="1"/>
    <col min="5" max="5" width="13.81640625" bestFit="1" customWidth="1"/>
  </cols>
  <sheetData>
    <row r="1" spans="1:6" x14ac:dyDescent="0.35">
      <c r="A1" s="1" t="s">
        <v>3137</v>
      </c>
      <c r="C1" s="2">
        <v>24142000</v>
      </c>
      <c r="D1" s="2">
        <v>26119000</v>
      </c>
      <c r="E1" s="2">
        <v>28011000</v>
      </c>
      <c r="F1" s="2"/>
    </row>
    <row r="2" spans="1:6" x14ac:dyDescent="0.35">
      <c r="C2" s="2"/>
      <c r="D2" s="2"/>
      <c r="E2" s="2"/>
      <c r="F2" s="2"/>
    </row>
    <row r="3" spans="1:6" x14ac:dyDescent="0.35">
      <c r="A3" t="s">
        <v>3502</v>
      </c>
      <c r="B3" s="236">
        <v>0.1</v>
      </c>
      <c r="C3" s="2">
        <f>+C1*0.1</f>
        <v>2414200</v>
      </c>
      <c r="D3" s="2">
        <f t="shared" ref="D3:E3" si="0">+D1*0.1</f>
        <v>2611900</v>
      </c>
      <c r="E3" s="2">
        <f t="shared" si="0"/>
        <v>2801100</v>
      </c>
      <c r="F3" s="2"/>
    </row>
    <row r="4" spans="1:6" x14ac:dyDescent="0.35">
      <c r="A4" t="s">
        <v>3503</v>
      </c>
      <c r="B4" s="236">
        <v>0.2</v>
      </c>
      <c r="C4" s="2">
        <f>+C1*0.2</f>
        <v>4828400</v>
      </c>
      <c r="D4" s="2">
        <f t="shared" ref="D4:E4" si="1">+D1*0.2</f>
        <v>5223800</v>
      </c>
      <c r="E4" s="2">
        <f t="shared" si="1"/>
        <v>5602200</v>
      </c>
      <c r="F4" s="2"/>
    </row>
    <row r="5" spans="1:6" x14ac:dyDescent="0.35">
      <c r="A5" t="s">
        <v>2620</v>
      </c>
      <c r="B5" s="236">
        <v>0.2</v>
      </c>
      <c r="C5" s="2">
        <f>+C1*0.2</f>
        <v>4828400</v>
      </c>
      <c r="D5" s="2">
        <f>+D1*0.2</f>
        <v>5223800</v>
      </c>
      <c r="E5" s="2">
        <f>+E1*0.2</f>
        <v>5602200</v>
      </c>
      <c r="F5" s="2"/>
    </row>
    <row r="6" spans="1:6" x14ac:dyDescent="0.35">
      <c r="A6" t="s">
        <v>2621</v>
      </c>
      <c r="B6" s="236">
        <v>0.2</v>
      </c>
      <c r="C6" s="2">
        <f>+C1*0.2</f>
        <v>4828400</v>
      </c>
      <c r="D6" s="2">
        <f>+D1*0.2</f>
        <v>5223800</v>
      </c>
      <c r="E6" s="2">
        <f>+E1*0.2</f>
        <v>5602200</v>
      </c>
      <c r="F6" s="2"/>
    </row>
    <row r="7" spans="1:6" x14ac:dyDescent="0.35">
      <c r="A7" t="s">
        <v>2622</v>
      </c>
      <c r="B7" s="236">
        <v>0.2</v>
      </c>
      <c r="C7" s="2">
        <f>+C1*0.2</f>
        <v>4828400</v>
      </c>
      <c r="D7" s="2">
        <f t="shared" ref="D7:E7" si="2">+D1*0.2</f>
        <v>5223800</v>
      </c>
      <c r="E7" s="2">
        <f t="shared" si="2"/>
        <v>5602200</v>
      </c>
      <c r="F7" s="2"/>
    </row>
    <row r="8" spans="1:6" x14ac:dyDescent="0.35">
      <c r="A8" t="s">
        <v>2612</v>
      </c>
      <c r="B8" s="236">
        <v>0.1</v>
      </c>
      <c r="C8" s="2">
        <f>+C1*0.1</f>
        <v>2414200</v>
      </c>
      <c r="D8" s="2">
        <f>+D1*0.1</f>
        <v>2611900</v>
      </c>
      <c r="E8" s="2">
        <f>+E1*0.1</f>
        <v>2801100</v>
      </c>
      <c r="F8" s="2"/>
    </row>
    <row r="9" spans="1:6" ht="15" thickBot="1" x14ac:dyDescent="0.4">
      <c r="C9" s="87">
        <f>SUM(C3:C8)</f>
        <v>24142000</v>
      </c>
      <c r="D9" s="87">
        <f t="shared" ref="D9:E9" si="3">SUM(D3:D8)</f>
        <v>26119000</v>
      </c>
      <c r="E9" s="87">
        <f t="shared" si="3"/>
        <v>28011000</v>
      </c>
      <c r="F9" s="2"/>
    </row>
    <row r="10" spans="1:6" ht="15" thickTop="1" x14ac:dyDescent="0.35">
      <c r="C10" s="2"/>
      <c r="D10" s="2"/>
      <c r="E10" s="2"/>
      <c r="F10" s="2"/>
    </row>
    <row r="11" spans="1:6" x14ac:dyDescent="0.35">
      <c r="A11" s="1" t="s">
        <v>3136</v>
      </c>
      <c r="D11" s="2"/>
      <c r="E11" s="2"/>
      <c r="F11" s="2"/>
    </row>
    <row r="12" spans="1:6" x14ac:dyDescent="0.35">
      <c r="C12" s="2"/>
      <c r="D12" s="2"/>
      <c r="E12" s="2"/>
      <c r="F12" s="2"/>
    </row>
    <row r="13" spans="1:6" x14ac:dyDescent="0.35">
      <c r="A13" t="s">
        <v>3504</v>
      </c>
      <c r="C13" s="2">
        <v>290000</v>
      </c>
      <c r="D13" s="2"/>
      <c r="E13" s="2"/>
      <c r="F13" s="2"/>
    </row>
    <row r="14" spans="1:6" x14ac:dyDescent="0.35">
      <c r="A14" t="s">
        <v>3505</v>
      </c>
      <c r="C14" s="2">
        <v>500000</v>
      </c>
      <c r="D14" s="2"/>
      <c r="E14" s="2"/>
      <c r="F14" s="2"/>
    </row>
    <row r="15" spans="1:6" x14ac:dyDescent="0.35">
      <c r="A15" t="s">
        <v>3506</v>
      </c>
      <c r="C15" s="2">
        <v>1600000</v>
      </c>
      <c r="D15" s="2"/>
      <c r="E15" s="2"/>
      <c r="F15" s="2"/>
    </row>
    <row r="16" spans="1:6" x14ac:dyDescent="0.35">
      <c r="A16" t="s">
        <v>3507</v>
      </c>
      <c r="C16" s="2">
        <v>400000</v>
      </c>
      <c r="D16" s="2"/>
      <c r="E16" s="2"/>
      <c r="F16" s="2"/>
    </row>
    <row r="17" spans="1:6" x14ac:dyDescent="0.35">
      <c r="A17" t="s">
        <v>3508</v>
      </c>
      <c r="C17" s="2">
        <v>10000</v>
      </c>
      <c r="D17" s="2"/>
      <c r="E17" s="2"/>
      <c r="F17" s="2"/>
    </row>
    <row r="18" spans="1:6" x14ac:dyDescent="0.35">
      <c r="C18" s="2"/>
      <c r="D18" s="2"/>
      <c r="E18" s="2"/>
      <c r="F18" s="2"/>
    </row>
    <row r="19" spans="1:6" ht="15" thickBot="1" x14ac:dyDescent="0.4">
      <c r="C19" s="87">
        <f>SUM(C13:C18)</f>
        <v>2800000</v>
      </c>
      <c r="D19" s="2"/>
      <c r="E19" s="2"/>
      <c r="F19" s="2"/>
    </row>
    <row r="20" spans="1:6" ht="15" thickTop="1" x14ac:dyDescent="0.35">
      <c r="C20" s="2"/>
      <c r="D20" s="2"/>
      <c r="E20" s="2"/>
      <c r="F20" s="2"/>
    </row>
    <row r="21" spans="1:6" x14ac:dyDescent="0.35">
      <c r="A21" s="238" t="s">
        <v>2782</v>
      </c>
      <c r="C21" s="2"/>
      <c r="D21" s="2"/>
      <c r="E21" s="2"/>
      <c r="F21" s="2"/>
    </row>
    <row r="22" spans="1:6" x14ac:dyDescent="0.35">
      <c r="C22" s="2"/>
      <c r="D22" s="2"/>
      <c r="E22" s="2"/>
      <c r="F22" s="2"/>
    </row>
    <row r="23" spans="1:6" x14ac:dyDescent="0.35">
      <c r="A23" t="s">
        <v>3509</v>
      </c>
      <c r="C23" s="2">
        <v>300000</v>
      </c>
    </row>
    <row r="24" spans="1:6" x14ac:dyDescent="0.35">
      <c r="C24" s="2"/>
    </row>
    <row r="25" spans="1:6" ht="15" thickBot="1" x14ac:dyDescent="0.4">
      <c r="C25" s="87">
        <f>SUM(C23:C24)</f>
        <v>300000</v>
      </c>
    </row>
    <row r="26" spans="1:6" ht="15" thickTop="1" x14ac:dyDescent="0.35">
      <c r="C26" s="2"/>
    </row>
    <row r="27" spans="1:6" x14ac:dyDescent="0.35">
      <c r="C27" s="2"/>
    </row>
    <row r="28" spans="1:6" x14ac:dyDescent="0.35">
      <c r="C28" s="2"/>
    </row>
    <row r="29" spans="1:6" x14ac:dyDescent="0.35">
      <c r="C29" s="2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B12"/>
  <sheetViews>
    <sheetView workbookViewId="0">
      <selection activeCell="D11" sqref="D11"/>
    </sheetView>
  </sheetViews>
  <sheetFormatPr defaultRowHeight="14.5" x14ac:dyDescent="0.35"/>
  <cols>
    <col min="1" max="1" width="36.7265625" bestFit="1" customWidth="1"/>
    <col min="2" max="2" width="14.7265625" bestFit="1" customWidth="1"/>
  </cols>
  <sheetData>
    <row r="1" spans="1:2" ht="15" thickBot="1" x14ac:dyDescent="0.4"/>
    <row r="2" spans="1:2" ht="15" thickBot="1" x14ac:dyDescent="0.4">
      <c r="A2" s="221" t="s">
        <v>3430</v>
      </c>
      <c r="B2" s="222"/>
    </row>
    <row r="3" spans="1:2" x14ac:dyDescent="0.35">
      <c r="B3" s="113"/>
    </row>
    <row r="4" spans="1:2" x14ac:dyDescent="0.35">
      <c r="A4" s="28" t="s">
        <v>3431</v>
      </c>
      <c r="B4" s="220" t="s">
        <v>3429</v>
      </c>
    </row>
    <row r="5" spans="1:2" x14ac:dyDescent="0.35">
      <c r="A5" s="66" t="s">
        <v>3432</v>
      </c>
      <c r="B5" s="89">
        <f>8020000*0.3</f>
        <v>2406000</v>
      </c>
    </row>
    <row r="6" spans="1:2" x14ac:dyDescent="0.35">
      <c r="A6" s="66" t="s">
        <v>3433</v>
      </c>
      <c r="B6" s="89">
        <v>3000000</v>
      </c>
    </row>
    <row r="7" spans="1:2" x14ac:dyDescent="0.35">
      <c r="A7" s="66" t="s">
        <v>3434</v>
      </c>
      <c r="B7" s="89">
        <v>1000000</v>
      </c>
    </row>
    <row r="8" spans="1:2" x14ac:dyDescent="0.35">
      <c r="A8" s="66" t="s">
        <v>3435</v>
      </c>
      <c r="B8" s="89">
        <f>8020000*0.7</f>
        <v>5614000</v>
      </c>
    </row>
    <row r="9" spans="1:2" x14ac:dyDescent="0.35">
      <c r="A9" s="66" t="s">
        <v>3436</v>
      </c>
      <c r="B9" s="89">
        <f>27000000+5000000</f>
        <v>32000000</v>
      </c>
    </row>
    <row r="10" spans="1:2" x14ac:dyDescent="0.35">
      <c r="B10" s="113"/>
    </row>
    <row r="11" spans="1:2" ht="15" thickBot="1" x14ac:dyDescent="0.4">
      <c r="A11" s="86" t="s">
        <v>2752</v>
      </c>
      <c r="B11" s="112">
        <f>SUM(B5:B9)</f>
        <v>44020000</v>
      </c>
    </row>
    <row r="12" spans="1:2" ht="15" thickTop="1" x14ac:dyDescent="0.35"/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26"/>
  <sheetViews>
    <sheetView workbookViewId="0">
      <selection activeCell="F17" sqref="F17"/>
    </sheetView>
  </sheetViews>
  <sheetFormatPr defaultRowHeight="14.5" x14ac:dyDescent="0.35"/>
  <cols>
    <col min="1" max="1" width="24.1796875" customWidth="1"/>
    <col min="2" max="2" width="10.7265625" customWidth="1"/>
    <col min="3" max="3" width="14.81640625" customWidth="1"/>
  </cols>
  <sheetData>
    <row r="1" spans="1:3" x14ac:dyDescent="0.35">
      <c r="A1" s="1" t="s">
        <v>2773</v>
      </c>
    </row>
    <row r="3" spans="1:3" x14ac:dyDescent="0.35">
      <c r="A3" t="s">
        <v>2774</v>
      </c>
    </row>
    <row r="4" spans="1:3" x14ac:dyDescent="0.35">
      <c r="A4" t="s">
        <v>2775</v>
      </c>
    </row>
    <row r="5" spans="1:3" x14ac:dyDescent="0.35">
      <c r="A5" t="s">
        <v>2777</v>
      </c>
    </row>
    <row r="6" spans="1:3" x14ac:dyDescent="0.35">
      <c r="A6" t="s">
        <v>2776</v>
      </c>
    </row>
    <row r="7" spans="1:3" x14ac:dyDescent="0.35">
      <c r="A7" t="s">
        <v>2778</v>
      </c>
    </row>
    <row r="8" spans="1:3" x14ac:dyDescent="0.35">
      <c r="A8" t="s">
        <v>2792</v>
      </c>
    </row>
    <row r="9" spans="1:3" x14ac:dyDescent="0.35">
      <c r="A9" t="s">
        <v>2779</v>
      </c>
    </row>
    <row r="10" spans="1:3" x14ac:dyDescent="0.35">
      <c r="A10" t="s">
        <v>2780</v>
      </c>
    </row>
    <row r="12" spans="1:3" x14ac:dyDescent="0.35">
      <c r="A12" t="s">
        <v>2781</v>
      </c>
    </row>
    <row r="14" spans="1:3" ht="16" x14ac:dyDescent="0.5">
      <c r="A14" s="1" t="s">
        <v>2784</v>
      </c>
      <c r="B14" s="1" t="s">
        <v>2785</v>
      </c>
      <c r="C14" s="128" t="s">
        <v>2543</v>
      </c>
    </row>
    <row r="15" spans="1:3" x14ac:dyDescent="0.35">
      <c r="A15" s="3">
        <v>930000</v>
      </c>
      <c r="B15" s="5" t="s">
        <v>2782</v>
      </c>
      <c r="C15" s="3">
        <v>-930000</v>
      </c>
    </row>
    <row r="16" spans="1:3" x14ac:dyDescent="0.35">
      <c r="A16" s="3">
        <v>15812000</v>
      </c>
      <c r="B16" s="5" t="s">
        <v>2783</v>
      </c>
      <c r="C16" s="3">
        <f>-A16*1.066+592</f>
        <v>-16855000</v>
      </c>
    </row>
    <row r="17" spans="1:3" x14ac:dyDescent="0.35">
      <c r="A17" s="3">
        <v>15812000</v>
      </c>
      <c r="B17" s="5" t="s">
        <v>2783</v>
      </c>
      <c r="C17" s="3">
        <v>16678000</v>
      </c>
    </row>
    <row r="18" spans="1:3" x14ac:dyDescent="0.35">
      <c r="A18" s="5"/>
      <c r="B18" s="5"/>
      <c r="C18" s="5"/>
    </row>
    <row r="20" spans="1:3" ht="15" thickBot="1" x14ac:dyDescent="0.4">
      <c r="A20" t="s">
        <v>2786</v>
      </c>
      <c r="C20" s="87">
        <f>SUM(C15:C19)</f>
        <v>-1107000</v>
      </c>
    </row>
    <row r="21" spans="1:3" ht="15" thickTop="1" x14ac:dyDescent="0.35">
      <c r="A21" t="s">
        <v>2787</v>
      </c>
      <c r="C21" s="129">
        <f>+C20/'Tot KPA'!E121</f>
        <v>1.5512653252262087E-2</v>
      </c>
    </row>
    <row r="22" spans="1:3" x14ac:dyDescent="0.35">
      <c r="C22" s="129"/>
    </row>
    <row r="23" spans="1:3" x14ac:dyDescent="0.35">
      <c r="A23" t="s">
        <v>2790</v>
      </c>
    </row>
    <row r="24" spans="1:3" x14ac:dyDescent="0.35">
      <c r="A24" t="s">
        <v>2788</v>
      </c>
    </row>
    <row r="25" spans="1:3" x14ac:dyDescent="0.35">
      <c r="A25" t="s">
        <v>2789</v>
      </c>
    </row>
    <row r="26" spans="1:3" x14ac:dyDescent="0.35">
      <c r="A26" t="s">
        <v>2791</v>
      </c>
    </row>
  </sheetData>
  <pageMargins left="0.7" right="0.7" top="0.75" bottom="0.75" header="0.3" footer="0.3"/>
  <pageSetup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9"/>
  <sheetViews>
    <sheetView topLeftCell="A710" workbookViewId="0">
      <selection activeCell="B14" sqref="B14"/>
    </sheetView>
  </sheetViews>
  <sheetFormatPr defaultRowHeight="14.5" x14ac:dyDescent="0.35"/>
  <cols>
    <col min="1" max="1" width="28.26953125" customWidth="1"/>
    <col min="2" max="2" width="27.7265625" customWidth="1"/>
    <col min="3" max="3" width="19" customWidth="1"/>
    <col min="4" max="4" width="32.1796875" customWidth="1"/>
    <col min="5" max="5" width="17.26953125" style="2" customWidth="1"/>
    <col min="6" max="6" width="16.26953125" style="2" customWidth="1"/>
    <col min="7" max="7" width="16.7265625" style="2" customWidth="1"/>
    <col min="9" max="9" width="19.81640625" customWidth="1"/>
  </cols>
  <sheetData>
    <row r="1" spans="1:7" s="1" customFormat="1" ht="31.5" customHeight="1" thickBot="1" x14ac:dyDescent="0.4">
      <c r="A1" s="53" t="s">
        <v>2586</v>
      </c>
      <c r="B1" s="52" t="s">
        <v>2537</v>
      </c>
      <c r="C1" s="38" t="s">
        <v>2538</v>
      </c>
      <c r="D1" s="38" t="s">
        <v>2539</v>
      </c>
      <c r="E1" s="36" t="s">
        <v>2540</v>
      </c>
      <c r="F1" s="36" t="s">
        <v>2541</v>
      </c>
      <c r="G1" s="37" t="s">
        <v>2542</v>
      </c>
    </row>
    <row r="3" spans="1:7" ht="15" thickBot="1" x14ac:dyDescent="0.4">
      <c r="A3" s="28" t="s">
        <v>2587</v>
      </c>
      <c r="B3" s="12" t="s">
        <v>2547</v>
      </c>
    </row>
    <row r="4" spans="1:7" x14ac:dyDescent="0.35">
      <c r="B4" s="13" t="s">
        <v>2543</v>
      </c>
      <c r="C4" s="14" t="s">
        <v>1</v>
      </c>
      <c r="D4" s="14" t="s">
        <v>2</v>
      </c>
      <c r="E4" s="15">
        <v>-22000</v>
      </c>
      <c r="F4" s="15">
        <v>-23735.49</v>
      </c>
      <c r="G4" s="16">
        <f>+F4/7*12</f>
        <v>-40689.411428571431</v>
      </c>
    </row>
    <row r="5" spans="1:7" x14ac:dyDescent="0.35">
      <c r="B5" s="17" t="s">
        <v>2543</v>
      </c>
      <c r="C5" s="5" t="s">
        <v>3</v>
      </c>
      <c r="D5" s="5" t="s">
        <v>4</v>
      </c>
      <c r="E5" s="3">
        <v>-3800</v>
      </c>
      <c r="F5" s="3">
        <v>-3100</v>
      </c>
      <c r="G5" s="18">
        <f t="shared" ref="G5:G75" si="0">+F5/7*12</f>
        <v>-5314.2857142857138</v>
      </c>
    </row>
    <row r="6" spans="1:7" x14ac:dyDescent="0.35">
      <c r="B6" s="17" t="s">
        <v>2543</v>
      </c>
      <c r="C6" s="5" t="s">
        <v>5</v>
      </c>
      <c r="D6" s="5" t="s">
        <v>6</v>
      </c>
      <c r="E6" s="3">
        <v>-100</v>
      </c>
      <c r="F6" s="3">
        <v>0</v>
      </c>
      <c r="G6" s="18">
        <f t="shared" si="0"/>
        <v>0</v>
      </c>
    </row>
    <row r="7" spans="1:7" x14ac:dyDescent="0.35">
      <c r="B7" s="17" t="s">
        <v>2543</v>
      </c>
      <c r="C7" s="5" t="s">
        <v>7</v>
      </c>
      <c r="D7" s="5" t="s">
        <v>8</v>
      </c>
      <c r="E7" s="3">
        <v>0</v>
      </c>
      <c r="F7" s="3">
        <v>-16860</v>
      </c>
      <c r="G7" s="18">
        <f t="shared" si="0"/>
        <v>-28902.857142857141</v>
      </c>
    </row>
    <row r="8" spans="1:7" x14ac:dyDescent="0.35">
      <c r="B8" s="17" t="s">
        <v>2543</v>
      </c>
      <c r="C8" s="5" t="s">
        <v>9</v>
      </c>
      <c r="D8" s="5" t="s">
        <v>10</v>
      </c>
      <c r="E8" s="3">
        <v>-640</v>
      </c>
      <c r="F8" s="3">
        <v>-390</v>
      </c>
      <c r="G8" s="18">
        <f t="shared" si="0"/>
        <v>-668.57142857142856</v>
      </c>
    </row>
    <row r="9" spans="1:7" x14ac:dyDescent="0.35">
      <c r="B9" s="17" t="s">
        <v>2543</v>
      </c>
      <c r="C9" s="5" t="s">
        <v>11</v>
      </c>
      <c r="D9" s="5" t="s">
        <v>12</v>
      </c>
      <c r="E9" s="3">
        <v>0</v>
      </c>
      <c r="F9" s="3">
        <v>-489.05</v>
      </c>
      <c r="G9" s="18">
        <f t="shared" si="0"/>
        <v>-838.37142857142862</v>
      </c>
    </row>
    <row r="10" spans="1:7" x14ac:dyDescent="0.35">
      <c r="B10" s="17" t="s">
        <v>2543</v>
      </c>
      <c r="C10" s="5" t="s">
        <v>13</v>
      </c>
      <c r="D10" s="5" t="s">
        <v>14</v>
      </c>
      <c r="E10" s="3">
        <v>0</v>
      </c>
      <c r="F10" s="3">
        <v>0</v>
      </c>
      <c r="G10" s="18">
        <f t="shared" si="0"/>
        <v>0</v>
      </c>
    </row>
    <row r="11" spans="1:7" x14ac:dyDescent="0.35">
      <c r="B11" s="17" t="s">
        <v>2543</v>
      </c>
      <c r="C11" s="5" t="s">
        <v>15</v>
      </c>
      <c r="D11" s="5" t="s">
        <v>16</v>
      </c>
      <c r="E11" s="3">
        <v>-4066000</v>
      </c>
      <c r="F11" s="3">
        <v>-10696000</v>
      </c>
      <c r="G11" s="18">
        <f t="shared" si="0"/>
        <v>-18336000</v>
      </c>
    </row>
    <row r="12" spans="1:7" x14ac:dyDescent="0.35">
      <c r="B12" s="17" t="s">
        <v>2543</v>
      </c>
      <c r="C12" s="5" t="s">
        <v>17</v>
      </c>
      <c r="D12" s="5" t="s">
        <v>18</v>
      </c>
      <c r="E12" s="3">
        <v>0</v>
      </c>
      <c r="F12" s="3">
        <v>0</v>
      </c>
      <c r="G12" s="18">
        <f t="shared" si="0"/>
        <v>0</v>
      </c>
    </row>
    <row r="13" spans="1:7" x14ac:dyDescent="0.35">
      <c r="B13" s="17" t="s">
        <v>2543</v>
      </c>
      <c r="C13" s="5" t="s">
        <v>19</v>
      </c>
      <c r="D13" s="5" t="s">
        <v>20</v>
      </c>
      <c r="E13" s="3">
        <v>-1403000</v>
      </c>
      <c r="F13" s="3">
        <v>0</v>
      </c>
      <c r="G13" s="18">
        <f t="shared" si="0"/>
        <v>0</v>
      </c>
    </row>
    <row r="14" spans="1:7" x14ac:dyDescent="0.35">
      <c r="B14" s="17" t="s">
        <v>2543</v>
      </c>
      <c r="C14" s="5" t="s">
        <v>21</v>
      </c>
      <c r="D14" s="5" t="s">
        <v>22</v>
      </c>
      <c r="E14" s="3">
        <v>-4000</v>
      </c>
      <c r="F14" s="3">
        <v>-2026.2</v>
      </c>
      <c r="G14" s="18">
        <f t="shared" si="0"/>
        <v>-3473.4857142857145</v>
      </c>
    </row>
    <row r="15" spans="1:7" x14ac:dyDescent="0.35">
      <c r="B15" s="17" t="s">
        <v>2543</v>
      </c>
      <c r="C15" s="5" t="s">
        <v>23</v>
      </c>
      <c r="D15" s="5" t="s">
        <v>24</v>
      </c>
      <c r="E15" s="3">
        <v>0</v>
      </c>
      <c r="F15" s="3">
        <v>0</v>
      </c>
      <c r="G15" s="18">
        <f t="shared" si="0"/>
        <v>0</v>
      </c>
    </row>
    <row r="16" spans="1:7" x14ac:dyDescent="0.35">
      <c r="B16" s="17" t="s">
        <v>2543</v>
      </c>
      <c r="C16" s="5" t="s">
        <v>25</v>
      </c>
      <c r="D16" s="5" t="s">
        <v>26</v>
      </c>
      <c r="E16" s="3">
        <v>0</v>
      </c>
      <c r="F16" s="3">
        <v>0</v>
      </c>
      <c r="G16" s="18">
        <f t="shared" si="0"/>
        <v>0</v>
      </c>
    </row>
    <row r="17" spans="2:7" x14ac:dyDescent="0.35">
      <c r="B17" s="17" t="s">
        <v>2543</v>
      </c>
      <c r="C17" s="5" t="s">
        <v>27</v>
      </c>
      <c r="D17" s="5" t="s">
        <v>28</v>
      </c>
      <c r="E17" s="3">
        <v>0</v>
      </c>
      <c r="F17" s="3">
        <v>0</v>
      </c>
      <c r="G17" s="18">
        <f t="shared" si="0"/>
        <v>0</v>
      </c>
    </row>
    <row r="18" spans="2:7" x14ac:dyDescent="0.35">
      <c r="B18" s="17" t="s">
        <v>2543</v>
      </c>
      <c r="C18" s="5" t="s">
        <v>29</v>
      </c>
      <c r="D18" s="5" t="s">
        <v>30</v>
      </c>
      <c r="E18" s="3">
        <v>0</v>
      </c>
      <c r="F18" s="3">
        <v>0</v>
      </c>
      <c r="G18" s="18">
        <f t="shared" si="0"/>
        <v>0</v>
      </c>
    </row>
    <row r="19" spans="2:7" x14ac:dyDescent="0.35">
      <c r="B19" s="17" t="s">
        <v>2543</v>
      </c>
      <c r="C19" s="5" t="s">
        <v>31</v>
      </c>
      <c r="D19" s="5" t="s">
        <v>32</v>
      </c>
      <c r="E19" s="3">
        <v>0</v>
      </c>
      <c r="F19" s="3">
        <v>0</v>
      </c>
      <c r="G19" s="18">
        <f t="shared" si="0"/>
        <v>0</v>
      </c>
    </row>
    <row r="20" spans="2:7" s="8" customFormat="1" x14ac:dyDescent="0.35">
      <c r="B20" s="19" t="s">
        <v>2545</v>
      </c>
      <c r="C20" s="5"/>
      <c r="D20" s="5"/>
      <c r="E20" s="10">
        <f t="shared" ref="E20:G20" si="1">SUM(E4:E19)</f>
        <v>-5499540</v>
      </c>
      <c r="F20" s="10">
        <f t="shared" si="1"/>
        <v>-10742600.739999998</v>
      </c>
      <c r="G20" s="22">
        <f t="shared" si="1"/>
        <v>-18415886.982857145</v>
      </c>
    </row>
    <row r="21" spans="2:7" s="8" customFormat="1" x14ac:dyDescent="0.35">
      <c r="B21" s="20"/>
      <c r="E21" s="9"/>
      <c r="F21" s="9"/>
      <c r="G21" s="21"/>
    </row>
    <row r="22" spans="2:7" x14ac:dyDescent="0.35">
      <c r="B22" s="17" t="s">
        <v>2544</v>
      </c>
      <c r="C22" s="5" t="s">
        <v>33</v>
      </c>
      <c r="D22" s="5" t="s">
        <v>34</v>
      </c>
      <c r="E22" s="3">
        <v>146542</v>
      </c>
      <c r="F22" s="3">
        <f>538570.57+4028.71</f>
        <v>542599.27999999991</v>
      </c>
      <c r="G22" s="18">
        <f t="shared" si="0"/>
        <v>930170.19428571418</v>
      </c>
    </row>
    <row r="23" spans="2:7" x14ac:dyDescent="0.35">
      <c r="B23" s="17" t="s">
        <v>2544</v>
      </c>
      <c r="C23" s="5" t="s">
        <v>35</v>
      </c>
      <c r="D23" s="5" t="s">
        <v>36</v>
      </c>
      <c r="E23" s="3">
        <v>12212</v>
      </c>
      <c r="F23" s="3">
        <v>12211.81</v>
      </c>
      <c r="G23" s="18">
        <f t="shared" si="0"/>
        <v>20934.531428571427</v>
      </c>
    </row>
    <row r="24" spans="2:7" x14ac:dyDescent="0.35">
      <c r="B24" s="17" t="s">
        <v>2544</v>
      </c>
      <c r="C24" s="5" t="s">
        <v>37</v>
      </c>
      <c r="D24" s="5" t="s">
        <v>38</v>
      </c>
      <c r="E24" s="3">
        <v>0</v>
      </c>
      <c r="F24" s="3">
        <v>0</v>
      </c>
      <c r="G24" s="18">
        <f t="shared" si="0"/>
        <v>0</v>
      </c>
    </row>
    <row r="25" spans="2:7" x14ac:dyDescent="0.35">
      <c r="B25" s="17" t="s">
        <v>2544</v>
      </c>
      <c r="C25" s="5" t="s">
        <v>39</v>
      </c>
      <c r="D25" s="5" t="s">
        <v>40</v>
      </c>
      <c r="E25" s="3">
        <v>0</v>
      </c>
      <c r="F25" s="3">
        <v>0</v>
      </c>
      <c r="G25" s="18">
        <f t="shared" si="0"/>
        <v>0</v>
      </c>
    </row>
    <row r="26" spans="2:7" x14ac:dyDescent="0.35">
      <c r="B26" s="17" t="s">
        <v>2544</v>
      </c>
      <c r="C26" s="5" t="s">
        <v>41</v>
      </c>
      <c r="D26" s="5" t="s">
        <v>42</v>
      </c>
      <c r="E26" s="3">
        <v>0</v>
      </c>
      <c r="F26" s="3">
        <v>0</v>
      </c>
      <c r="G26" s="18">
        <f t="shared" si="0"/>
        <v>0</v>
      </c>
    </row>
    <row r="27" spans="2:7" x14ac:dyDescent="0.35">
      <c r="B27" s="17" t="s">
        <v>2544</v>
      </c>
      <c r="C27" s="5" t="s">
        <v>43</v>
      </c>
      <c r="D27" s="5" t="s">
        <v>44</v>
      </c>
      <c r="E27" s="3">
        <v>1465</v>
      </c>
      <c r="F27" s="3">
        <v>2017.68</v>
      </c>
      <c r="G27" s="18">
        <f t="shared" si="0"/>
        <v>3458.88</v>
      </c>
    </row>
    <row r="28" spans="2:7" x14ac:dyDescent="0.35">
      <c r="B28" s="17" t="s">
        <v>2544</v>
      </c>
      <c r="C28" s="5" t="s">
        <v>45</v>
      </c>
      <c r="D28" s="5" t="s">
        <v>46</v>
      </c>
      <c r="E28" s="3">
        <v>1465</v>
      </c>
      <c r="F28" s="3">
        <v>94.92</v>
      </c>
      <c r="G28" s="18">
        <f t="shared" si="0"/>
        <v>162.72</v>
      </c>
    </row>
    <row r="29" spans="2:7" x14ac:dyDescent="0.35">
      <c r="B29" s="17" t="s">
        <v>2544</v>
      </c>
      <c r="C29" s="5" t="s">
        <v>47</v>
      </c>
      <c r="D29" s="5" t="s">
        <v>48</v>
      </c>
      <c r="E29" s="3">
        <v>0</v>
      </c>
      <c r="F29" s="3">
        <v>0</v>
      </c>
      <c r="G29" s="18">
        <f t="shared" si="0"/>
        <v>0</v>
      </c>
    </row>
    <row r="30" spans="2:7" x14ac:dyDescent="0.35">
      <c r="B30" s="17" t="s">
        <v>2544</v>
      </c>
      <c r="C30" s="5" t="s">
        <v>49</v>
      </c>
      <c r="D30" s="5" t="s">
        <v>50</v>
      </c>
      <c r="E30" s="3">
        <v>1465</v>
      </c>
      <c r="F30" s="3">
        <v>14274.56</v>
      </c>
      <c r="G30" s="18">
        <f t="shared" si="0"/>
        <v>24470.674285714285</v>
      </c>
    </row>
    <row r="31" spans="2:7" x14ac:dyDescent="0.35">
      <c r="B31" s="17" t="s">
        <v>2544</v>
      </c>
      <c r="C31" s="5" t="s">
        <v>51</v>
      </c>
      <c r="D31" s="5" t="s">
        <v>52</v>
      </c>
      <c r="E31" s="3">
        <v>0</v>
      </c>
      <c r="F31" s="3">
        <v>0</v>
      </c>
      <c r="G31" s="18">
        <f t="shared" si="0"/>
        <v>0</v>
      </c>
    </row>
    <row r="32" spans="2:7" x14ac:dyDescent="0.35">
      <c r="B32" s="17" t="s">
        <v>2544</v>
      </c>
      <c r="C32" s="5" t="s">
        <v>53</v>
      </c>
      <c r="D32" s="5" t="s">
        <v>54</v>
      </c>
      <c r="E32" s="3">
        <v>1826918</v>
      </c>
      <c r="F32" s="3">
        <v>976912.63</v>
      </c>
      <c r="G32" s="18">
        <f t="shared" si="0"/>
        <v>1674707.365714286</v>
      </c>
    </row>
    <row r="33" spans="2:7" x14ac:dyDescent="0.35">
      <c r="B33" s="17" t="s">
        <v>2544</v>
      </c>
      <c r="C33" s="5" t="s">
        <v>55</v>
      </c>
      <c r="D33" s="5" t="s">
        <v>56</v>
      </c>
      <c r="E33" s="3">
        <v>0</v>
      </c>
      <c r="F33" s="3">
        <v>0</v>
      </c>
      <c r="G33" s="18">
        <f t="shared" si="0"/>
        <v>0</v>
      </c>
    </row>
    <row r="34" spans="2:7" x14ac:dyDescent="0.35">
      <c r="B34" s="17" t="s">
        <v>2544</v>
      </c>
      <c r="C34" s="5" t="s">
        <v>57</v>
      </c>
      <c r="D34" s="5" t="s">
        <v>58</v>
      </c>
      <c r="E34" s="3">
        <v>146076</v>
      </c>
      <c r="F34" s="3">
        <v>81961.69</v>
      </c>
      <c r="G34" s="18">
        <f t="shared" si="0"/>
        <v>140505.7542857143</v>
      </c>
    </row>
    <row r="35" spans="2:7" x14ac:dyDescent="0.35">
      <c r="B35" s="17" t="s">
        <v>2544</v>
      </c>
      <c r="C35" s="5" t="s">
        <v>59</v>
      </c>
      <c r="D35" s="5" t="s">
        <v>60</v>
      </c>
      <c r="E35" s="3">
        <v>0</v>
      </c>
      <c r="F35" s="3">
        <v>0</v>
      </c>
      <c r="G35" s="18">
        <f t="shared" si="0"/>
        <v>0</v>
      </c>
    </row>
    <row r="36" spans="2:7" x14ac:dyDescent="0.35">
      <c r="B36" s="17" t="s">
        <v>2544</v>
      </c>
      <c r="C36" s="5" t="s">
        <v>61</v>
      </c>
      <c r="D36" s="5" t="s">
        <v>62</v>
      </c>
      <c r="E36" s="3">
        <v>0</v>
      </c>
      <c r="F36" s="3">
        <v>0</v>
      </c>
      <c r="G36" s="18">
        <f t="shared" si="0"/>
        <v>0</v>
      </c>
    </row>
    <row r="37" spans="2:7" x14ac:dyDescent="0.35">
      <c r="B37" s="17" t="s">
        <v>2544</v>
      </c>
      <c r="C37" s="5" t="s">
        <v>63</v>
      </c>
      <c r="D37" s="5" t="s">
        <v>64</v>
      </c>
      <c r="E37" s="3">
        <v>440000</v>
      </c>
      <c r="F37" s="3">
        <v>0</v>
      </c>
      <c r="G37" s="18">
        <f t="shared" si="0"/>
        <v>0</v>
      </c>
    </row>
    <row r="38" spans="2:7" x14ac:dyDescent="0.35">
      <c r="B38" s="17" t="s">
        <v>2544</v>
      </c>
      <c r="C38" s="5" t="s">
        <v>65</v>
      </c>
      <c r="D38" s="5" t="s">
        <v>66</v>
      </c>
      <c r="E38" s="3">
        <v>0</v>
      </c>
      <c r="F38" s="3">
        <v>0</v>
      </c>
      <c r="G38" s="18">
        <f t="shared" si="0"/>
        <v>0</v>
      </c>
    </row>
    <row r="39" spans="2:7" x14ac:dyDescent="0.35">
      <c r="B39" s="17" t="s">
        <v>2544</v>
      </c>
      <c r="C39" s="5" t="s">
        <v>67</v>
      </c>
      <c r="D39" s="5" t="s">
        <v>68</v>
      </c>
      <c r="E39" s="3">
        <v>0</v>
      </c>
      <c r="F39" s="3">
        <v>0</v>
      </c>
      <c r="G39" s="18">
        <f t="shared" si="0"/>
        <v>0</v>
      </c>
    </row>
    <row r="40" spans="2:7" x14ac:dyDescent="0.35">
      <c r="B40" s="17" t="s">
        <v>2544</v>
      </c>
      <c r="C40" s="5" t="s">
        <v>69</v>
      </c>
      <c r="D40" s="5" t="s">
        <v>70</v>
      </c>
      <c r="E40" s="3">
        <v>0</v>
      </c>
      <c r="F40" s="3">
        <v>0</v>
      </c>
      <c r="G40" s="18">
        <f t="shared" si="0"/>
        <v>0</v>
      </c>
    </row>
    <row r="41" spans="2:7" x14ac:dyDescent="0.35">
      <c r="B41" s="17" t="s">
        <v>2544</v>
      </c>
      <c r="C41" s="5" t="s">
        <v>71</v>
      </c>
      <c r="D41" s="5" t="s">
        <v>72</v>
      </c>
      <c r="E41" s="3">
        <v>0</v>
      </c>
      <c r="F41" s="3">
        <v>0</v>
      </c>
      <c r="G41" s="18">
        <f t="shared" si="0"/>
        <v>0</v>
      </c>
    </row>
    <row r="42" spans="2:7" x14ac:dyDescent="0.35">
      <c r="B42" s="17" t="s">
        <v>2544</v>
      </c>
      <c r="C42" s="5" t="s">
        <v>73</v>
      </c>
      <c r="D42" s="5" t="s">
        <v>74</v>
      </c>
      <c r="E42" s="3">
        <v>0</v>
      </c>
      <c r="F42" s="3">
        <v>28000</v>
      </c>
      <c r="G42" s="18">
        <f t="shared" si="0"/>
        <v>48000</v>
      </c>
    </row>
    <row r="43" spans="2:7" x14ac:dyDescent="0.35">
      <c r="B43" s="17" t="s">
        <v>2544</v>
      </c>
      <c r="C43" s="5" t="s">
        <v>75</v>
      </c>
      <c r="D43" s="5" t="s">
        <v>76</v>
      </c>
      <c r="E43" s="3">
        <v>200</v>
      </c>
      <c r="F43" s="3">
        <v>0</v>
      </c>
      <c r="G43" s="18">
        <f t="shared" si="0"/>
        <v>0</v>
      </c>
    </row>
    <row r="44" spans="2:7" x14ac:dyDescent="0.35">
      <c r="B44" s="17" t="s">
        <v>2544</v>
      </c>
      <c r="C44" s="5" t="s">
        <v>77</v>
      </c>
      <c r="D44" s="5" t="s">
        <v>78</v>
      </c>
      <c r="E44" s="3">
        <v>100000</v>
      </c>
      <c r="F44" s="3">
        <v>0</v>
      </c>
      <c r="G44" s="18">
        <f t="shared" si="0"/>
        <v>0</v>
      </c>
    </row>
    <row r="45" spans="2:7" x14ac:dyDescent="0.35">
      <c r="B45" s="17" t="s">
        <v>2544</v>
      </c>
      <c r="C45" s="5" t="s">
        <v>79</v>
      </c>
      <c r="D45" s="5" t="s">
        <v>80</v>
      </c>
      <c r="E45" s="3">
        <v>625000</v>
      </c>
      <c r="F45" s="3">
        <f>4623341.4-9210.53</f>
        <v>4614130.87</v>
      </c>
      <c r="G45" s="18">
        <f t="shared" si="0"/>
        <v>7909938.6342857145</v>
      </c>
    </row>
    <row r="46" spans="2:7" x14ac:dyDescent="0.35">
      <c r="B46" s="17" t="s">
        <v>2544</v>
      </c>
      <c r="C46" s="5" t="s">
        <v>81</v>
      </c>
      <c r="D46" s="5" t="s">
        <v>82</v>
      </c>
      <c r="E46" s="3">
        <v>500000</v>
      </c>
      <c r="F46" s="3">
        <v>0</v>
      </c>
      <c r="G46" s="18">
        <f t="shared" si="0"/>
        <v>0</v>
      </c>
    </row>
    <row r="47" spans="2:7" x14ac:dyDescent="0.35">
      <c r="B47" s="17" t="s">
        <v>2544</v>
      </c>
      <c r="C47" s="5" t="s">
        <v>83</v>
      </c>
      <c r="D47" s="5" t="s">
        <v>84</v>
      </c>
      <c r="E47" s="3">
        <v>0</v>
      </c>
      <c r="F47" s="3">
        <f>602-5416.42</f>
        <v>-4814.42</v>
      </c>
      <c r="G47" s="18">
        <f t="shared" si="0"/>
        <v>-8253.2914285714287</v>
      </c>
    </row>
    <row r="48" spans="2:7" x14ac:dyDescent="0.35">
      <c r="B48" s="17" t="s">
        <v>2544</v>
      </c>
      <c r="C48" s="5" t="s">
        <v>85</v>
      </c>
      <c r="D48" s="5" t="s">
        <v>86</v>
      </c>
      <c r="E48" s="3">
        <v>15000</v>
      </c>
      <c r="F48" s="3">
        <v>5878.84</v>
      </c>
      <c r="G48" s="18">
        <f t="shared" si="0"/>
        <v>10078.01142857143</v>
      </c>
    </row>
    <row r="49" spans="2:7" x14ac:dyDescent="0.35">
      <c r="B49" s="17" t="s">
        <v>2544</v>
      </c>
      <c r="C49" s="5" t="s">
        <v>87</v>
      </c>
      <c r="D49" s="5" t="s">
        <v>88</v>
      </c>
      <c r="E49" s="3">
        <v>0</v>
      </c>
      <c r="F49" s="3">
        <v>0</v>
      </c>
      <c r="G49" s="18">
        <f t="shared" si="0"/>
        <v>0</v>
      </c>
    </row>
    <row r="50" spans="2:7" x14ac:dyDescent="0.35">
      <c r="B50" s="17" t="s">
        <v>2544</v>
      </c>
      <c r="C50" s="5" t="s">
        <v>89</v>
      </c>
      <c r="D50" s="5" t="s">
        <v>90</v>
      </c>
      <c r="E50" s="3">
        <v>135000</v>
      </c>
      <c r="F50" s="3">
        <v>138272.78</v>
      </c>
      <c r="G50" s="18">
        <f t="shared" si="0"/>
        <v>237039.05142857146</v>
      </c>
    </row>
    <row r="51" spans="2:7" x14ac:dyDescent="0.35">
      <c r="B51" s="17" t="s">
        <v>2544</v>
      </c>
      <c r="C51" s="5" t="s">
        <v>91</v>
      </c>
      <c r="D51" s="5" t="s">
        <v>92</v>
      </c>
      <c r="E51" s="3">
        <v>2000</v>
      </c>
      <c r="F51" s="3">
        <f>35.76-33</f>
        <v>2.759999999999998</v>
      </c>
      <c r="G51" s="18">
        <f t="shared" si="0"/>
        <v>4.7314285714285678</v>
      </c>
    </row>
    <row r="52" spans="2:7" x14ac:dyDescent="0.35">
      <c r="B52" s="17" t="s">
        <v>2544</v>
      </c>
      <c r="C52" s="5" t="s">
        <v>93</v>
      </c>
      <c r="D52" s="5" t="s">
        <v>94</v>
      </c>
      <c r="E52" s="3">
        <v>0</v>
      </c>
      <c r="F52" s="3"/>
      <c r="G52" s="18">
        <f t="shared" si="0"/>
        <v>0</v>
      </c>
    </row>
    <row r="53" spans="2:7" x14ac:dyDescent="0.35">
      <c r="B53" s="17" t="s">
        <v>2544</v>
      </c>
      <c r="C53" s="5" t="s">
        <v>95</v>
      </c>
      <c r="D53" s="5" t="s">
        <v>96</v>
      </c>
      <c r="E53" s="3">
        <v>0</v>
      </c>
      <c r="F53" s="3">
        <v>0</v>
      </c>
      <c r="G53" s="18">
        <f t="shared" si="0"/>
        <v>0</v>
      </c>
    </row>
    <row r="54" spans="2:7" x14ac:dyDescent="0.35">
      <c r="B54" s="17" t="s">
        <v>2544</v>
      </c>
      <c r="C54" s="5" t="s">
        <v>97</v>
      </c>
      <c r="D54" s="5" t="s">
        <v>98</v>
      </c>
      <c r="E54" s="3">
        <v>100000</v>
      </c>
      <c r="F54" s="3">
        <f>99655.26-6041.16</f>
        <v>93614.099999999991</v>
      </c>
      <c r="G54" s="18">
        <f t="shared" si="0"/>
        <v>160481.31428571427</v>
      </c>
    </row>
    <row r="55" spans="2:7" x14ac:dyDescent="0.35">
      <c r="B55" s="17" t="s">
        <v>2544</v>
      </c>
      <c r="C55" s="5" t="s">
        <v>99</v>
      </c>
      <c r="D55" s="5" t="s">
        <v>100</v>
      </c>
      <c r="E55" s="3">
        <v>0</v>
      </c>
      <c r="F55" s="3">
        <v>1399.19</v>
      </c>
      <c r="G55" s="18">
        <f t="shared" si="0"/>
        <v>2398.6114285714284</v>
      </c>
    </row>
    <row r="56" spans="2:7" x14ac:dyDescent="0.35">
      <c r="B56" s="17" t="s">
        <v>2544</v>
      </c>
      <c r="C56" s="5" t="s">
        <v>101</v>
      </c>
      <c r="D56" s="5" t="s">
        <v>102</v>
      </c>
      <c r="E56" s="3">
        <v>0</v>
      </c>
      <c r="F56" s="3">
        <v>0</v>
      </c>
      <c r="G56" s="18">
        <f t="shared" si="0"/>
        <v>0</v>
      </c>
    </row>
    <row r="57" spans="2:7" x14ac:dyDescent="0.35">
      <c r="B57" s="17" t="s">
        <v>2544</v>
      </c>
      <c r="C57" s="5" t="s">
        <v>103</v>
      </c>
      <c r="D57" s="5" t="s">
        <v>104</v>
      </c>
      <c r="E57" s="3">
        <v>0</v>
      </c>
      <c r="F57" s="3">
        <v>0</v>
      </c>
      <c r="G57" s="18">
        <f t="shared" si="0"/>
        <v>0</v>
      </c>
    </row>
    <row r="58" spans="2:7" x14ac:dyDescent="0.35">
      <c r="B58" s="17" t="s">
        <v>2544</v>
      </c>
      <c r="C58" s="5" t="s">
        <v>105</v>
      </c>
      <c r="D58" s="5" t="s">
        <v>106</v>
      </c>
      <c r="E58" s="3">
        <v>0</v>
      </c>
      <c r="F58" s="3">
        <v>1037.73</v>
      </c>
      <c r="G58" s="18">
        <f t="shared" si="0"/>
        <v>1778.9657142857141</v>
      </c>
    </row>
    <row r="59" spans="2:7" x14ac:dyDescent="0.35">
      <c r="B59" s="17" t="s">
        <v>2544</v>
      </c>
      <c r="C59" s="5" t="s">
        <v>107</v>
      </c>
      <c r="D59" s="5" t="s">
        <v>108</v>
      </c>
      <c r="E59" s="3">
        <v>0</v>
      </c>
      <c r="F59" s="3">
        <v>0</v>
      </c>
      <c r="G59" s="18">
        <f t="shared" si="0"/>
        <v>0</v>
      </c>
    </row>
    <row r="60" spans="2:7" x14ac:dyDescent="0.35">
      <c r="B60" s="17" t="s">
        <v>2544</v>
      </c>
      <c r="C60" s="5" t="s">
        <v>109</v>
      </c>
      <c r="D60" s="5" t="s">
        <v>110</v>
      </c>
      <c r="E60" s="3">
        <v>0</v>
      </c>
      <c r="F60" s="3">
        <v>0</v>
      </c>
      <c r="G60" s="18">
        <f t="shared" si="0"/>
        <v>0</v>
      </c>
    </row>
    <row r="61" spans="2:7" x14ac:dyDescent="0.35">
      <c r="B61" s="17" t="s">
        <v>2544</v>
      </c>
      <c r="C61" s="5" t="s">
        <v>111</v>
      </c>
      <c r="D61" s="5" t="s">
        <v>112</v>
      </c>
      <c r="E61" s="3">
        <v>0</v>
      </c>
      <c r="F61" s="3">
        <v>0</v>
      </c>
      <c r="G61" s="18">
        <f t="shared" si="0"/>
        <v>0</v>
      </c>
    </row>
    <row r="62" spans="2:7" x14ac:dyDescent="0.35">
      <c r="B62" s="17" t="s">
        <v>2544</v>
      </c>
      <c r="C62" s="5" t="s">
        <v>113</v>
      </c>
      <c r="D62" s="5" t="s">
        <v>114</v>
      </c>
      <c r="E62" s="3">
        <v>250</v>
      </c>
      <c r="F62" s="3">
        <v>0</v>
      </c>
      <c r="G62" s="18">
        <f t="shared" si="0"/>
        <v>0</v>
      </c>
    </row>
    <row r="63" spans="2:7" x14ac:dyDescent="0.35">
      <c r="B63" s="17" t="s">
        <v>2544</v>
      </c>
      <c r="C63" s="5" t="s">
        <v>115</v>
      </c>
      <c r="D63" s="5" t="s">
        <v>116</v>
      </c>
      <c r="E63" s="3">
        <v>0</v>
      </c>
      <c r="F63" s="3">
        <v>250</v>
      </c>
      <c r="G63" s="18">
        <f t="shared" si="0"/>
        <v>428.57142857142856</v>
      </c>
    </row>
    <row r="64" spans="2:7" x14ac:dyDescent="0.35">
      <c r="B64" s="17" t="s">
        <v>2544</v>
      </c>
      <c r="C64" s="5" t="s">
        <v>117</v>
      </c>
      <c r="D64" s="5" t="s">
        <v>118</v>
      </c>
      <c r="E64" s="3">
        <v>0</v>
      </c>
      <c r="F64" s="3">
        <v>0</v>
      </c>
      <c r="G64" s="18">
        <f t="shared" si="0"/>
        <v>0</v>
      </c>
    </row>
    <row r="65" spans="1:7" x14ac:dyDescent="0.35">
      <c r="B65" s="17" t="s">
        <v>2544</v>
      </c>
      <c r="C65" s="5" t="s">
        <v>119</v>
      </c>
      <c r="D65" s="5" t="s">
        <v>120</v>
      </c>
      <c r="E65" s="3">
        <v>0</v>
      </c>
      <c r="F65" s="3">
        <v>0</v>
      </c>
      <c r="G65" s="18">
        <f t="shared" si="0"/>
        <v>0</v>
      </c>
    </row>
    <row r="66" spans="1:7" x14ac:dyDescent="0.35">
      <c r="B66" s="17" t="s">
        <v>2544</v>
      </c>
      <c r="C66" s="5" t="s">
        <v>121</v>
      </c>
      <c r="D66" s="5" t="s">
        <v>122</v>
      </c>
      <c r="E66" s="3">
        <v>-1621438</v>
      </c>
      <c r="F66" s="3">
        <v>0</v>
      </c>
      <c r="G66" s="18">
        <f t="shared" si="0"/>
        <v>0</v>
      </c>
    </row>
    <row r="67" spans="1:7" x14ac:dyDescent="0.35">
      <c r="B67" s="17" t="s">
        <v>2544</v>
      </c>
      <c r="C67" s="5" t="s">
        <v>123</v>
      </c>
      <c r="D67" s="5" t="s">
        <v>124</v>
      </c>
      <c r="E67" s="3">
        <v>0</v>
      </c>
      <c r="F67" s="3">
        <v>0</v>
      </c>
      <c r="G67" s="18">
        <f t="shared" si="0"/>
        <v>0</v>
      </c>
    </row>
    <row r="68" spans="1:7" s="8" customFormat="1" x14ac:dyDescent="0.35">
      <c r="B68" s="46" t="s">
        <v>2546</v>
      </c>
      <c r="C68" s="5"/>
      <c r="D68" s="5"/>
      <c r="E68" s="10">
        <f>SUM(E22:E67)</f>
        <v>2432155</v>
      </c>
      <c r="F68" s="10">
        <f t="shared" ref="F68:G68" si="2">SUM(F22:F67)</f>
        <v>6507844.4200000009</v>
      </c>
      <c r="G68" s="22">
        <f t="shared" si="2"/>
        <v>11156304.720000001</v>
      </c>
    </row>
    <row r="69" spans="1:7" s="8" customFormat="1" ht="7.5" customHeight="1" x14ac:dyDescent="0.35">
      <c r="B69" s="23"/>
      <c r="E69" s="9"/>
      <c r="F69" s="9"/>
      <c r="G69" s="21"/>
    </row>
    <row r="70" spans="1:7" s="8" customFormat="1" ht="15" thickBot="1" x14ac:dyDescent="0.4">
      <c r="B70" s="24" t="s">
        <v>2548</v>
      </c>
      <c r="C70" s="25"/>
      <c r="D70" s="25"/>
      <c r="E70" s="26">
        <f>+E20+E68</f>
        <v>-3067385</v>
      </c>
      <c r="F70" s="26">
        <f t="shared" ref="F70:G70" si="3">+F20+F68</f>
        <v>-4234756.3199999975</v>
      </c>
      <c r="G70" s="27">
        <f t="shared" si="3"/>
        <v>-7259582.2628571447</v>
      </c>
    </row>
    <row r="71" spans="1:7" s="8" customFormat="1" x14ac:dyDescent="0.35">
      <c r="E71" s="9"/>
      <c r="F71" s="9"/>
      <c r="G71" s="9"/>
    </row>
    <row r="72" spans="1:7" s="8" customFormat="1" x14ac:dyDescent="0.35">
      <c r="E72" s="9"/>
      <c r="F72" s="9"/>
      <c r="G72" s="9"/>
    </row>
    <row r="73" spans="1:7" s="8" customFormat="1" ht="15" thickBot="1" x14ac:dyDescent="0.4">
      <c r="A73" s="28" t="s">
        <v>2549</v>
      </c>
      <c r="B73" s="28" t="s">
        <v>2588</v>
      </c>
      <c r="E73" s="9"/>
      <c r="F73" s="9"/>
      <c r="G73" s="9"/>
    </row>
    <row r="74" spans="1:7" x14ac:dyDescent="0.35">
      <c r="B74" s="31" t="s">
        <v>2543</v>
      </c>
      <c r="C74" s="14" t="s">
        <v>125</v>
      </c>
      <c r="D74" s="14" t="s">
        <v>126</v>
      </c>
      <c r="E74" s="15">
        <v>0</v>
      </c>
      <c r="F74" s="15">
        <f>7145.73-14489.4</f>
        <v>-7343.67</v>
      </c>
      <c r="G74" s="16">
        <f t="shared" si="0"/>
        <v>-12589.148571428574</v>
      </c>
    </row>
    <row r="75" spans="1:7" x14ac:dyDescent="0.35">
      <c r="B75" s="32" t="s">
        <v>2543</v>
      </c>
      <c r="C75" s="5" t="s">
        <v>127</v>
      </c>
      <c r="D75" s="5" t="s">
        <v>128</v>
      </c>
      <c r="E75" s="3">
        <v>0</v>
      </c>
      <c r="F75" s="3">
        <v>0</v>
      </c>
      <c r="G75" s="18">
        <f t="shared" si="0"/>
        <v>0</v>
      </c>
    </row>
    <row r="76" spans="1:7" x14ac:dyDescent="0.35">
      <c r="B76" s="32" t="s">
        <v>2543</v>
      </c>
      <c r="C76" s="5" t="s">
        <v>129</v>
      </c>
      <c r="D76" s="5" t="s">
        <v>130</v>
      </c>
      <c r="E76" s="3">
        <v>0</v>
      </c>
      <c r="F76" s="3">
        <v>-3500</v>
      </c>
      <c r="G76" s="18">
        <f t="shared" ref="G76:G141" si="4">+F76/7*12</f>
        <v>-6000</v>
      </c>
    </row>
    <row r="77" spans="1:7" x14ac:dyDescent="0.35">
      <c r="B77" s="32" t="s">
        <v>2543</v>
      </c>
      <c r="C77" s="5" t="s">
        <v>131</v>
      </c>
      <c r="D77" s="5" t="s">
        <v>132</v>
      </c>
      <c r="E77" s="3">
        <v>-2000</v>
      </c>
      <c r="F77" s="3">
        <v>-2414.58</v>
      </c>
      <c r="G77" s="18">
        <f t="shared" si="4"/>
        <v>-4139.28</v>
      </c>
    </row>
    <row r="78" spans="1:7" x14ac:dyDescent="0.35">
      <c r="B78" s="32" t="s">
        <v>2543</v>
      </c>
      <c r="C78" s="5" t="s">
        <v>133</v>
      </c>
      <c r="D78" s="5" t="s">
        <v>134</v>
      </c>
      <c r="E78" s="3">
        <v>0</v>
      </c>
      <c r="F78" s="3">
        <f>5079.77-2549.91</f>
        <v>2529.8600000000006</v>
      </c>
      <c r="G78" s="18">
        <f t="shared" si="4"/>
        <v>4336.902857142858</v>
      </c>
    </row>
    <row r="79" spans="1:7" x14ac:dyDescent="0.35">
      <c r="B79" s="32" t="s">
        <v>2543</v>
      </c>
      <c r="C79" s="5" t="s">
        <v>135</v>
      </c>
      <c r="D79" s="5" t="s">
        <v>136</v>
      </c>
      <c r="E79" s="3">
        <v>-55000</v>
      </c>
      <c r="F79" s="3">
        <v>-106548.62</v>
      </c>
      <c r="G79" s="18">
        <f t="shared" si="4"/>
        <v>-182654.77714285714</v>
      </c>
    </row>
    <row r="80" spans="1:7" x14ac:dyDescent="0.35">
      <c r="B80" s="32" t="s">
        <v>2543</v>
      </c>
      <c r="C80" s="5" t="s">
        <v>137</v>
      </c>
      <c r="D80" s="5" t="s">
        <v>138</v>
      </c>
      <c r="E80" s="3">
        <v>-489670</v>
      </c>
      <c r="F80" s="3">
        <f>20.61-396062.26</f>
        <v>-396041.65</v>
      </c>
      <c r="G80" s="18">
        <f t="shared" si="4"/>
        <v>-678928.54285714286</v>
      </c>
    </row>
    <row r="81" spans="2:7" x14ac:dyDescent="0.35">
      <c r="B81" s="32" t="s">
        <v>2543</v>
      </c>
      <c r="C81" s="5" t="s">
        <v>139</v>
      </c>
      <c r="D81" s="5" t="s">
        <v>6</v>
      </c>
      <c r="E81" s="3">
        <v>0</v>
      </c>
      <c r="F81" s="3">
        <v>-20</v>
      </c>
      <c r="G81" s="18">
        <f t="shared" si="4"/>
        <v>-34.285714285714285</v>
      </c>
    </row>
    <row r="82" spans="2:7" x14ac:dyDescent="0.35">
      <c r="B82" s="32" t="s">
        <v>2543</v>
      </c>
      <c r="C82" s="5" t="s">
        <v>140</v>
      </c>
      <c r="D82" s="5" t="s">
        <v>141</v>
      </c>
      <c r="E82" s="3">
        <v>0</v>
      </c>
      <c r="F82" s="3">
        <v>-49764.9</v>
      </c>
      <c r="G82" s="18">
        <f t="shared" si="4"/>
        <v>-85311.257142857154</v>
      </c>
    </row>
    <row r="83" spans="2:7" x14ac:dyDescent="0.35">
      <c r="B83" s="32" t="s">
        <v>2543</v>
      </c>
      <c r="C83" s="5" t="s">
        <v>142</v>
      </c>
      <c r="D83" s="5" t="s">
        <v>143</v>
      </c>
      <c r="E83" s="3">
        <v>-17000</v>
      </c>
      <c r="F83" s="3">
        <v>-10919</v>
      </c>
      <c r="G83" s="18">
        <f t="shared" si="4"/>
        <v>-18718.285714285714</v>
      </c>
    </row>
    <row r="84" spans="2:7" x14ac:dyDescent="0.35">
      <c r="B84" s="32" t="s">
        <v>2543</v>
      </c>
      <c r="C84" s="5" t="s">
        <v>144</v>
      </c>
      <c r="D84" s="5" t="s">
        <v>145</v>
      </c>
      <c r="E84" s="3">
        <v>-185000</v>
      </c>
      <c r="F84" s="3">
        <f>28484.45-125197.3</f>
        <v>-96712.85</v>
      </c>
      <c r="G84" s="18">
        <f t="shared" si="4"/>
        <v>-165793.45714285714</v>
      </c>
    </row>
    <row r="85" spans="2:7" x14ac:dyDescent="0.35">
      <c r="B85" s="32" t="s">
        <v>2543</v>
      </c>
      <c r="C85" s="5" t="s">
        <v>146</v>
      </c>
      <c r="D85" s="5" t="s">
        <v>147</v>
      </c>
      <c r="E85" s="3">
        <v>0</v>
      </c>
      <c r="F85" s="3">
        <f>824482.83-824482.85</f>
        <v>-2.0000000018626451E-2</v>
      </c>
      <c r="G85" s="18">
        <f t="shared" si="4"/>
        <v>-3.4285714317645349E-2</v>
      </c>
    </row>
    <row r="86" spans="2:7" x14ac:dyDescent="0.35">
      <c r="B86" s="32" t="s">
        <v>2543</v>
      </c>
      <c r="C86" s="5" t="s">
        <v>148</v>
      </c>
      <c r="D86" s="5" t="s">
        <v>149</v>
      </c>
      <c r="E86" s="3">
        <v>0</v>
      </c>
      <c r="F86" s="3">
        <v>-133</v>
      </c>
      <c r="G86" s="18">
        <f t="shared" si="4"/>
        <v>-228</v>
      </c>
    </row>
    <row r="87" spans="2:7" x14ac:dyDescent="0.35">
      <c r="B87" s="32" t="s">
        <v>2543</v>
      </c>
      <c r="C87" s="5" t="s">
        <v>150</v>
      </c>
      <c r="D87" s="5" t="s">
        <v>151</v>
      </c>
      <c r="E87" s="3">
        <v>0</v>
      </c>
      <c r="F87" s="3">
        <v>0</v>
      </c>
      <c r="G87" s="18">
        <f t="shared" si="4"/>
        <v>0</v>
      </c>
    </row>
    <row r="88" spans="2:7" x14ac:dyDescent="0.35">
      <c r="B88" s="32" t="s">
        <v>2543</v>
      </c>
      <c r="C88" s="5" t="s">
        <v>152</v>
      </c>
      <c r="D88" s="5" t="s">
        <v>153</v>
      </c>
      <c r="E88" s="3">
        <v>-18000</v>
      </c>
      <c r="F88" s="3">
        <v>-10724</v>
      </c>
      <c r="G88" s="18">
        <f t="shared" si="4"/>
        <v>-18384</v>
      </c>
    </row>
    <row r="89" spans="2:7" x14ac:dyDescent="0.35">
      <c r="B89" s="32" t="s">
        <v>2543</v>
      </c>
      <c r="C89" s="5" t="s">
        <v>154</v>
      </c>
      <c r="D89" s="5" t="s">
        <v>155</v>
      </c>
      <c r="E89" s="3">
        <v>0</v>
      </c>
      <c r="F89" s="3">
        <f>1104.91-6734.64</f>
        <v>-5629.7300000000005</v>
      </c>
      <c r="G89" s="18">
        <f t="shared" si="4"/>
        <v>-9650.9657142857141</v>
      </c>
    </row>
    <row r="90" spans="2:7" x14ac:dyDescent="0.35">
      <c r="B90" s="32" t="s">
        <v>2543</v>
      </c>
      <c r="C90" s="5" t="s">
        <v>156</v>
      </c>
      <c r="D90" s="5" t="s">
        <v>157</v>
      </c>
      <c r="E90" s="3">
        <v>-1800000</v>
      </c>
      <c r="F90" s="3">
        <v>-1800000</v>
      </c>
      <c r="G90" s="18">
        <f t="shared" si="4"/>
        <v>-3085714.2857142854</v>
      </c>
    </row>
    <row r="91" spans="2:7" x14ac:dyDescent="0.35">
      <c r="B91" s="32" t="s">
        <v>2543</v>
      </c>
      <c r="C91" s="5" t="s">
        <v>158</v>
      </c>
      <c r="D91" s="5" t="s">
        <v>159</v>
      </c>
      <c r="E91" s="3">
        <v>0</v>
      </c>
      <c r="F91" s="3">
        <v>-7030.57</v>
      </c>
      <c r="G91" s="18">
        <f t="shared" si="4"/>
        <v>-12052.405714285713</v>
      </c>
    </row>
    <row r="92" spans="2:7" x14ac:dyDescent="0.35">
      <c r="B92" s="32" t="s">
        <v>2543</v>
      </c>
      <c r="C92" s="5" t="s">
        <v>160</v>
      </c>
      <c r="D92" s="5" t="s">
        <v>161</v>
      </c>
      <c r="E92" s="3">
        <v>-934000</v>
      </c>
      <c r="F92" s="3">
        <v>-934000</v>
      </c>
      <c r="G92" s="18">
        <f t="shared" si="4"/>
        <v>-1601142.857142857</v>
      </c>
    </row>
    <row r="93" spans="2:7" x14ac:dyDescent="0.35">
      <c r="B93" s="32" t="s">
        <v>2543</v>
      </c>
      <c r="C93" s="5" t="s">
        <v>162</v>
      </c>
      <c r="D93" s="5" t="s">
        <v>163</v>
      </c>
      <c r="E93" s="3">
        <v>-10490000</v>
      </c>
      <c r="F93" s="3">
        <v>-8982636.4000000004</v>
      </c>
      <c r="G93" s="18">
        <f t="shared" si="4"/>
        <v>-15398805.257142859</v>
      </c>
    </row>
    <row r="94" spans="2:7" x14ac:dyDescent="0.35">
      <c r="B94" s="32" t="s">
        <v>2543</v>
      </c>
      <c r="C94" s="5" t="s">
        <v>164</v>
      </c>
      <c r="D94" s="5" t="s">
        <v>165</v>
      </c>
      <c r="E94" s="3">
        <v>0</v>
      </c>
      <c r="F94" s="3">
        <v>0</v>
      </c>
      <c r="G94" s="18">
        <f t="shared" si="4"/>
        <v>0</v>
      </c>
    </row>
    <row r="95" spans="2:7" x14ac:dyDescent="0.35">
      <c r="B95" s="32" t="s">
        <v>2543</v>
      </c>
      <c r="C95" s="5" t="s">
        <v>166</v>
      </c>
      <c r="D95" s="5" t="s">
        <v>167</v>
      </c>
      <c r="E95" s="3">
        <v>0</v>
      </c>
      <c r="F95" s="3">
        <v>-700000</v>
      </c>
      <c r="G95" s="18">
        <f t="shared" si="4"/>
        <v>-1200000</v>
      </c>
    </row>
    <row r="96" spans="2:7" x14ac:dyDescent="0.35">
      <c r="B96" s="32" t="s">
        <v>2543</v>
      </c>
      <c r="C96" s="5" t="s">
        <v>168</v>
      </c>
      <c r="D96" s="5" t="s">
        <v>169</v>
      </c>
      <c r="E96" s="3">
        <v>0</v>
      </c>
      <c r="F96" s="3">
        <v>-546500</v>
      </c>
      <c r="G96" s="18">
        <f t="shared" si="4"/>
        <v>-936857.14285714272</v>
      </c>
    </row>
    <row r="97" spans="2:7" x14ac:dyDescent="0.35">
      <c r="B97" s="32" t="s">
        <v>2543</v>
      </c>
      <c r="C97" s="5" t="s">
        <v>170</v>
      </c>
      <c r="D97" s="5" t="s">
        <v>171</v>
      </c>
      <c r="E97" s="3">
        <v>0</v>
      </c>
      <c r="F97" s="3">
        <v>0</v>
      </c>
      <c r="G97" s="18">
        <f t="shared" si="4"/>
        <v>0</v>
      </c>
    </row>
    <row r="98" spans="2:7" x14ac:dyDescent="0.35">
      <c r="B98" s="32" t="s">
        <v>2543</v>
      </c>
      <c r="C98" s="5" t="s">
        <v>172</v>
      </c>
      <c r="D98" s="5" t="s">
        <v>173</v>
      </c>
      <c r="E98" s="3">
        <v>0</v>
      </c>
      <c r="F98" s="3">
        <v>0</v>
      </c>
      <c r="G98" s="18">
        <f t="shared" si="4"/>
        <v>0</v>
      </c>
    </row>
    <row r="99" spans="2:7" x14ac:dyDescent="0.35">
      <c r="B99" s="32" t="s">
        <v>2543</v>
      </c>
      <c r="C99" s="5" t="s">
        <v>174</v>
      </c>
      <c r="D99" s="5" t="s">
        <v>175</v>
      </c>
      <c r="E99" s="3">
        <v>0</v>
      </c>
      <c r="F99" s="3">
        <v>0</v>
      </c>
      <c r="G99" s="18">
        <f t="shared" si="4"/>
        <v>0</v>
      </c>
    </row>
    <row r="100" spans="2:7" x14ac:dyDescent="0.35">
      <c r="B100" s="32" t="s">
        <v>2543</v>
      </c>
      <c r="C100" s="5" t="s">
        <v>176</v>
      </c>
      <c r="D100" s="5" t="s">
        <v>177</v>
      </c>
      <c r="E100" s="3">
        <v>-3305</v>
      </c>
      <c r="F100" s="3">
        <f>323.23-2647.05</f>
        <v>-2323.8200000000002</v>
      </c>
      <c r="G100" s="18">
        <f t="shared" si="4"/>
        <v>-3983.6914285714283</v>
      </c>
    </row>
    <row r="101" spans="2:7" x14ac:dyDescent="0.35">
      <c r="B101" s="32" t="s">
        <v>2543</v>
      </c>
      <c r="C101" s="5" t="s">
        <v>178</v>
      </c>
      <c r="D101" s="5" t="s">
        <v>179</v>
      </c>
      <c r="E101" s="3">
        <v>-10411</v>
      </c>
      <c r="F101" s="3">
        <f>78.8-10405.2</f>
        <v>-10326.400000000001</v>
      </c>
      <c r="G101" s="18">
        <f t="shared" si="4"/>
        <v>-17702.400000000001</v>
      </c>
    </row>
    <row r="102" spans="2:7" x14ac:dyDescent="0.35">
      <c r="B102" s="32" t="s">
        <v>2543</v>
      </c>
      <c r="C102" s="5" t="s">
        <v>180</v>
      </c>
      <c r="D102" s="5" t="s">
        <v>181</v>
      </c>
      <c r="E102" s="3">
        <v>-14000</v>
      </c>
      <c r="F102" s="3">
        <v>-8208</v>
      </c>
      <c r="G102" s="18">
        <f t="shared" si="4"/>
        <v>-14070.857142857145</v>
      </c>
    </row>
    <row r="103" spans="2:7" x14ac:dyDescent="0.35">
      <c r="B103" s="32" t="s">
        <v>2543</v>
      </c>
      <c r="C103" s="5" t="s">
        <v>182</v>
      </c>
      <c r="D103" s="5" t="s">
        <v>183</v>
      </c>
      <c r="E103" s="3">
        <v>-270</v>
      </c>
      <c r="F103" s="3">
        <f>0.9-408.01</f>
        <v>-407.11</v>
      </c>
      <c r="G103" s="18">
        <f t="shared" si="4"/>
        <v>-697.9028571428571</v>
      </c>
    </row>
    <row r="104" spans="2:7" x14ac:dyDescent="0.35">
      <c r="B104" s="32" t="s">
        <v>2543</v>
      </c>
      <c r="C104" s="5" t="s">
        <v>184</v>
      </c>
      <c r="D104" s="5" t="s">
        <v>185</v>
      </c>
      <c r="E104" s="3">
        <v>0</v>
      </c>
      <c r="F104" s="3">
        <v>-1591270.63</v>
      </c>
      <c r="G104" s="18">
        <f t="shared" si="4"/>
        <v>-2727892.5085714282</v>
      </c>
    </row>
    <row r="105" spans="2:7" x14ac:dyDescent="0.35">
      <c r="B105" s="32" t="s">
        <v>2543</v>
      </c>
      <c r="C105" s="5" t="s">
        <v>186</v>
      </c>
      <c r="D105" s="5" t="s">
        <v>30</v>
      </c>
      <c r="E105" s="3">
        <v>0</v>
      </c>
      <c r="F105" s="3">
        <v>0</v>
      </c>
      <c r="G105" s="18">
        <f t="shared" si="4"/>
        <v>0</v>
      </c>
    </row>
    <row r="106" spans="2:7" x14ac:dyDescent="0.35">
      <c r="B106" s="32" t="s">
        <v>2543</v>
      </c>
      <c r="C106" s="5" t="s">
        <v>187</v>
      </c>
      <c r="D106" s="5" t="s">
        <v>188</v>
      </c>
      <c r="E106" s="3">
        <v>0</v>
      </c>
      <c r="F106" s="3">
        <v>0</v>
      </c>
      <c r="G106" s="18">
        <f t="shared" si="4"/>
        <v>0</v>
      </c>
    </row>
    <row r="107" spans="2:7" x14ac:dyDescent="0.35">
      <c r="B107" s="32" t="s">
        <v>2543</v>
      </c>
      <c r="C107" s="5" t="s">
        <v>189</v>
      </c>
      <c r="D107" s="5" t="s">
        <v>190</v>
      </c>
      <c r="E107" s="3">
        <v>0</v>
      </c>
      <c r="F107" s="3">
        <f>18012.42-192130.31</f>
        <v>-174117.89</v>
      </c>
      <c r="G107" s="18">
        <f t="shared" si="4"/>
        <v>-298487.81142857147</v>
      </c>
    </row>
    <row r="108" spans="2:7" x14ac:dyDescent="0.35">
      <c r="B108" s="32" t="s">
        <v>2543</v>
      </c>
      <c r="C108" s="5" t="s">
        <v>191</v>
      </c>
      <c r="D108" s="5" t="s">
        <v>32</v>
      </c>
      <c r="E108" s="3">
        <v>0</v>
      </c>
      <c r="F108" s="3">
        <v>0</v>
      </c>
      <c r="G108" s="18">
        <f t="shared" si="4"/>
        <v>0</v>
      </c>
    </row>
    <row r="109" spans="2:7" s="8" customFormat="1" x14ac:dyDescent="0.35">
      <c r="B109" s="33" t="s">
        <v>2545</v>
      </c>
      <c r="C109" s="5"/>
      <c r="D109" s="5"/>
      <c r="E109" s="10">
        <f>SUM(E74:E108)</f>
        <v>-14018656</v>
      </c>
      <c r="F109" s="10">
        <f t="shared" ref="F109:G109" si="5">SUM(F74:F108)</f>
        <v>-15444042.98</v>
      </c>
      <c r="G109" s="22">
        <f t="shared" si="5"/>
        <v>-26475502.251428571</v>
      </c>
    </row>
    <row r="110" spans="2:7" s="8" customFormat="1" x14ac:dyDescent="0.35">
      <c r="B110" s="23"/>
      <c r="E110" s="9"/>
      <c r="F110" s="9"/>
      <c r="G110" s="21"/>
    </row>
    <row r="111" spans="2:7" x14ac:dyDescent="0.35">
      <c r="B111" s="32" t="s">
        <v>2544</v>
      </c>
      <c r="C111" s="5" t="s">
        <v>192</v>
      </c>
      <c r="D111" s="5" t="s">
        <v>34</v>
      </c>
      <c r="E111" s="3">
        <v>5387479</v>
      </c>
      <c r="F111" s="3">
        <f>3030343.12-3058.29</f>
        <v>3027284.83</v>
      </c>
      <c r="G111" s="18">
        <f t="shared" si="4"/>
        <v>5189631.1371428575</v>
      </c>
    </row>
    <row r="112" spans="2:7" x14ac:dyDescent="0.35">
      <c r="B112" s="32" t="s">
        <v>2544</v>
      </c>
      <c r="C112" s="5" t="s">
        <v>193</v>
      </c>
      <c r="D112" s="5" t="s">
        <v>36</v>
      </c>
      <c r="E112" s="3">
        <v>448957</v>
      </c>
      <c r="F112" s="3">
        <v>343213.86</v>
      </c>
      <c r="G112" s="18">
        <f t="shared" si="4"/>
        <v>588366.61714285705</v>
      </c>
    </row>
    <row r="113" spans="2:7" x14ac:dyDescent="0.35">
      <c r="B113" s="32" t="s">
        <v>2544</v>
      </c>
      <c r="C113" s="5" t="s">
        <v>194</v>
      </c>
      <c r="D113" s="5" t="s">
        <v>38</v>
      </c>
      <c r="E113" s="3">
        <v>0</v>
      </c>
      <c r="F113" s="3">
        <v>548.79999999999995</v>
      </c>
      <c r="G113" s="18">
        <f t="shared" si="4"/>
        <v>940.8</v>
      </c>
    </row>
    <row r="114" spans="2:7" x14ac:dyDescent="0.35">
      <c r="B114" s="32" t="s">
        <v>2544</v>
      </c>
      <c r="C114" s="5" t="s">
        <v>195</v>
      </c>
      <c r="D114" s="5" t="s">
        <v>40</v>
      </c>
      <c r="E114" s="3">
        <v>0</v>
      </c>
      <c r="F114" s="3">
        <v>0</v>
      </c>
      <c r="G114" s="18">
        <f t="shared" si="4"/>
        <v>0</v>
      </c>
    </row>
    <row r="115" spans="2:7" x14ac:dyDescent="0.35">
      <c r="B115" s="32" t="s">
        <v>2544</v>
      </c>
      <c r="C115" s="5" t="s">
        <v>196</v>
      </c>
      <c r="D115" s="5" t="s">
        <v>197</v>
      </c>
      <c r="E115" s="3">
        <v>0</v>
      </c>
      <c r="F115" s="3">
        <v>0</v>
      </c>
      <c r="G115" s="18">
        <f t="shared" si="4"/>
        <v>0</v>
      </c>
    </row>
    <row r="116" spans="2:7" x14ac:dyDescent="0.35">
      <c r="B116" s="32" t="s">
        <v>2544</v>
      </c>
      <c r="C116" s="5" t="s">
        <v>198</v>
      </c>
      <c r="D116" s="5" t="s">
        <v>42</v>
      </c>
      <c r="E116" s="3">
        <v>0</v>
      </c>
      <c r="F116" s="3">
        <v>0</v>
      </c>
      <c r="G116" s="18">
        <f t="shared" si="4"/>
        <v>0</v>
      </c>
    </row>
    <row r="117" spans="2:7" x14ac:dyDescent="0.35">
      <c r="B117" s="32" t="s">
        <v>2544</v>
      </c>
      <c r="C117" s="5" t="s">
        <v>199</v>
      </c>
      <c r="D117" s="5" t="s">
        <v>44</v>
      </c>
      <c r="E117" s="3">
        <v>24161</v>
      </c>
      <c r="F117" s="3">
        <v>14753.22</v>
      </c>
      <c r="G117" s="18">
        <f t="shared" si="4"/>
        <v>25291.234285714283</v>
      </c>
    </row>
    <row r="118" spans="2:7" x14ac:dyDescent="0.35">
      <c r="B118" s="32" t="s">
        <v>2544</v>
      </c>
      <c r="C118" s="5" t="s">
        <v>200</v>
      </c>
      <c r="D118" s="5" t="s">
        <v>46</v>
      </c>
      <c r="E118" s="3">
        <v>53875</v>
      </c>
      <c r="F118" s="3">
        <v>644.1</v>
      </c>
      <c r="G118" s="18">
        <f t="shared" si="4"/>
        <v>1104.1714285714286</v>
      </c>
    </row>
    <row r="119" spans="2:7" x14ac:dyDescent="0.35">
      <c r="B119" s="32" t="s">
        <v>2544</v>
      </c>
      <c r="C119" s="5" t="s">
        <v>201</v>
      </c>
      <c r="D119" s="5" t="s">
        <v>48</v>
      </c>
      <c r="E119" s="3">
        <v>0</v>
      </c>
      <c r="F119" s="3">
        <v>0</v>
      </c>
      <c r="G119" s="18">
        <f t="shared" si="4"/>
        <v>0</v>
      </c>
    </row>
    <row r="120" spans="2:7" x14ac:dyDescent="0.35">
      <c r="B120" s="32" t="s">
        <v>2544</v>
      </c>
      <c r="C120" s="5" t="s">
        <v>202</v>
      </c>
      <c r="D120" s="5" t="s">
        <v>50</v>
      </c>
      <c r="E120" s="3">
        <v>53875</v>
      </c>
      <c r="F120" s="3">
        <v>30659.62</v>
      </c>
      <c r="G120" s="18">
        <f t="shared" si="4"/>
        <v>52559.348571428578</v>
      </c>
    </row>
    <row r="121" spans="2:7" x14ac:dyDescent="0.35">
      <c r="B121" s="32" t="s">
        <v>2544</v>
      </c>
      <c r="C121" s="5" t="s">
        <v>203</v>
      </c>
      <c r="D121" s="5" t="s">
        <v>52</v>
      </c>
      <c r="E121" s="3">
        <v>0</v>
      </c>
      <c r="F121" s="3">
        <v>84020.05</v>
      </c>
      <c r="G121" s="18">
        <f t="shared" si="4"/>
        <v>144034.37142857144</v>
      </c>
    </row>
    <row r="122" spans="2:7" x14ac:dyDescent="0.35">
      <c r="B122" s="32" t="s">
        <v>2544</v>
      </c>
      <c r="C122" s="5" t="s">
        <v>204</v>
      </c>
      <c r="D122" s="5" t="s">
        <v>205</v>
      </c>
      <c r="E122" s="3">
        <v>0</v>
      </c>
      <c r="F122" s="3">
        <v>191364.4</v>
      </c>
      <c r="G122" s="18">
        <f t="shared" si="4"/>
        <v>328053.25714285712</v>
      </c>
    </row>
    <row r="123" spans="2:7" x14ac:dyDescent="0.35">
      <c r="B123" s="32" t="s">
        <v>2544</v>
      </c>
      <c r="C123" s="5" t="s">
        <v>206</v>
      </c>
      <c r="D123" s="5" t="s">
        <v>207</v>
      </c>
      <c r="E123" s="3">
        <v>0</v>
      </c>
      <c r="F123" s="3">
        <v>0</v>
      </c>
      <c r="G123" s="18">
        <f t="shared" si="4"/>
        <v>0</v>
      </c>
    </row>
    <row r="124" spans="2:7" x14ac:dyDescent="0.35">
      <c r="B124" s="32" t="s">
        <v>2544</v>
      </c>
      <c r="C124" s="5" t="s">
        <v>208</v>
      </c>
      <c r="D124" s="5" t="s">
        <v>209</v>
      </c>
      <c r="E124" s="3">
        <v>0</v>
      </c>
      <c r="F124" s="3">
        <v>0</v>
      </c>
      <c r="G124" s="18">
        <f t="shared" si="4"/>
        <v>0</v>
      </c>
    </row>
    <row r="125" spans="2:7" x14ac:dyDescent="0.35">
      <c r="B125" s="32" t="s">
        <v>2544</v>
      </c>
      <c r="C125" s="5" t="s">
        <v>210</v>
      </c>
      <c r="D125" s="5" t="s">
        <v>64</v>
      </c>
      <c r="E125" s="3">
        <v>535000</v>
      </c>
      <c r="F125" s="3">
        <v>0</v>
      </c>
      <c r="G125" s="18">
        <f t="shared" si="4"/>
        <v>0</v>
      </c>
    </row>
    <row r="126" spans="2:7" x14ac:dyDescent="0.35">
      <c r="B126" s="32" t="s">
        <v>2544</v>
      </c>
      <c r="C126" s="5" t="s">
        <v>211</v>
      </c>
      <c r="D126" s="5" t="s">
        <v>66</v>
      </c>
      <c r="E126" s="3">
        <v>0</v>
      </c>
      <c r="F126" s="3">
        <v>0</v>
      </c>
      <c r="G126" s="18">
        <f t="shared" si="4"/>
        <v>0</v>
      </c>
    </row>
    <row r="127" spans="2:7" x14ac:dyDescent="0.35">
      <c r="B127" s="32" t="s">
        <v>2544</v>
      </c>
      <c r="C127" s="5" t="s">
        <v>212</v>
      </c>
      <c r="D127" s="5" t="s">
        <v>68</v>
      </c>
      <c r="E127" s="3">
        <v>0</v>
      </c>
      <c r="F127" s="3">
        <v>0</v>
      </c>
      <c r="G127" s="18">
        <f t="shared" si="4"/>
        <v>0</v>
      </c>
    </row>
    <row r="128" spans="2:7" x14ac:dyDescent="0.35">
      <c r="B128" s="32" t="s">
        <v>2544</v>
      </c>
      <c r="C128" s="5" t="s">
        <v>213</v>
      </c>
      <c r="D128" s="5" t="s">
        <v>214</v>
      </c>
      <c r="E128" s="3">
        <v>0</v>
      </c>
      <c r="F128" s="3">
        <v>0</v>
      </c>
      <c r="G128" s="18">
        <f t="shared" si="4"/>
        <v>0</v>
      </c>
    </row>
    <row r="129" spans="2:7" x14ac:dyDescent="0.35">
      <c r="B129" s="32" t="s">
        <v>2544</v>
      </c>
      <c r="C129" s="5" t="s">
        <v>215</v>
      </c>
      <c r="D129" s="5" t="s">
        <v>216</v>
      </c>
      <c r="E129" s="3">
        <v>0</v>
      </c>
      <c r="F129" s="3">
        <v>0</v>
      </c>
      <c r="G129" s="18">
        <f t="shared" si="4"/>
        <v>0</v>
      </c>
    </row>
    <row r="130" spans="2:7" x14ac:dyDescent="0.35">
      <c r="B130" s="32" t="s">
        <v>2544</v>
      </c>
      <c r="C130" s="5" t="s">
        <v>217</v>
      </c>
      <c r="D130" s="5" t="s">
        <v>90</v>
      </c>
      <c r="E130" s="3">
        <v>12100</v>
      </c>
      <c r="F130" s="3">
        <v>17930.16</v>
      </c>
      <c r="G130" s="18">
        <f t="shared" si="4"/>
        <v>30737.417142857143</v>
      </c>
    </row>
    <row r="131" spans="2:7" x14ac:dyDescent="0.35">
      <c r="B131" s="32" t="s">
        <v>2544</v>
      </c>
      <c r="C131" s="5" t="s">
        <v>218</v>
      </c>
      <c r="D131" s="5" t="s">
        <v>92</v>
      </c>
      <c r="E131" s="3">
        <v>106189</v>
      </c>
      <c r="F131" s="3">
        <f>128533.9-344.48</f>
        <v>128189.42</v>
      </c>
      <c r="G131" s="18">
        <f t="shared" si="4"/>
        <v>219753.29142857139</v>
      </c>
    </row>
    <row r="132" spans="2:7" x14ac:dyDescent="0.35">
      <c r="B132" s="32" t="s">
        <v>2544</v>
      </c>
      <c r="C132" s="5" t="s">
        <v>219</v>
      </c>
      <c r="D132" s="5" t="s">
        <v>94</v>
      </c>
      <c r="E132" s="3">
        <v>350000</v>
      </c>
      <c r="F132" s="3">
        <f>212750.99-3598.11</f>
        <v>209152.88</v>
      </c>
      <c r="G132" s="18">
        <f t="shared" si="4"/>
        <v>358547.79428571428</v>
      </c>
    </row>
    <row r="133" spans="2:7" x14ac:dyDescent="0.35">
      <c r="B133" s="32" t="s">
        <v>2544</v>
      </c>
      <c r="C133" s="5" t="s">
        <v>220</v>
      </c>
      <c r="D133" s="5" t="s">
        <v>221</v>
      </c>
      <c r="E133" s="3">
        <v>79695</v>
      </c>
      <c r="F133" s="3">
        <f>93950.92-57.51</f>
        <v>93893.41</v>
      </c>
      <c r="G133" s="18">
        <f t="shared" si="4"/>
        <v>160960.13142857142</v>
      </c>
    </row>
    <row r="134" spans="2:7" x14ac:dyDescent="0.35">
      <c r="B134" s="32" t="s">
        <v>2544</v>
      </c>
      <c r="C134" s="5" t="s">
        <v>222</v>
      </c>
      <c r="D134" s="5" t="s">
        <v>223</v>
      </c>
      <c r="E134" s="3">
        <v>1431</v>
      </c>
      <c r="F134" s="3">
        <v>4560</v>
      </c>
      <c r="G134" s="18">
        <f t="shared" si="4"/>
        <v>7817.1428571428569</v>
      </c>
    </row>
    <row r="135" spans="2:7" x14ac:dyDescent="0.35">
      <c r="B135" s="32" t="s">
        <v>2544</v>
      </c>
      <c r="C135" s="5" t="s">
        <v>224</v>
      </c>
      <c r="D135" s="5" t="s">
        <v>225</v>
      </c>
      <c r="E135" s="3">
        <v>0</v>
      </c>
      <c r="F135" s="3">
        <v>808</v>
      </c>
      <c r="G135" s="18">
        <f t="shared" si="4"/>
        <v>1385.1428571428571</v>
      </c>
    </row>
    <row r="136" spans="2:7" x14ac:dyDescent="0.35">
      <c r="B136" s="32" t="s">
        <v>2544</v>
      </c>
      <c r="C136" s="5" t="s">
        <v>226</v>
      </c>
      <c r="D136" s="5" t="s">
        <v>227</v>
      </c>
      <c r="E136" s="3">
        <v>0</v>
      </c>
      <c r="F136" s="3">
        <v>0</v>
      </c>
      <c r="G136" s="18">
        <f t="shared" si="4"/>
        <v>0</v>
      </c>
    </row>
    <row r="137" spans="2:7" x14ac:dyDescent="0.35">
      <c r="B137" s="32" t="s">
        <v>2544</v>
      </c>
      <c r="C137" s="5" t="s">
        <v>228</v>
      </c>
      <c r="D137" s="5" t="s">
        <v>98</v>
      </c>
      <c r="E137" s="3">
        <v>7851</v>
      </c>
      <c r="F137" s="3">
        <f>24706.38-495</f>
        <v>24211.38</v>
      </c>
      <c r="G137" s="18">
        <f t="shared" si="4"/>
        <v>41505.222857142857</v>
      </c>
    </row>
    <row r="138" spans="2:7" x14ac:dyDescent="0.35">
      <c r="B138" s="32" t="s">
        <v>2544</v>
      </c>
      <c r="C138" s="5" t="s">
        <v>229</v>
      </c>
      <c r="D138" s="5" t="s">
        <v>230</v>
      </c>
      <c r="E138" s="3">
        <v>0</v>
      </c>
      <c r="F138" s="3">
        <v>0</v>
      </c>
      <c r="G138" s="18">
        <f t="shared" si="4"/>
        <v>0</v>
      </c>
    </row>
    <row r="139" spans="2:7" x14ac:dyDescent="0.35">
      <c r="B139" s="32" t="s">
        <v>2544</v>
      </c>
      <c r="C139" s="5" t="s">
        <v>231</v>
      </c>
      <c r="D139" s="5" t="s">
        <v>232</v>
      </c>
      <c r="E139" s="3">
        <v>65505</v>
      </c>
      <c r="F139" s="3">
        <v>78061.97</v>
      </c>
      <c r="G139" s="18">
        <f t="shared" si="4"/>
        <v>133820.52000000002</v>
      </c>
    </row>
    <row r="140" spans="2:7" x14ac:dyDescent="0.35">
      <c r="B140" s="32" t="s">
        <v>2544</v>
      </c>
      <c r="C140" s="5" t="s">
        <v>233</v>
      </c>
      <c r="D140" s="5" t="s">
        <v>234</v>
      </c>
      <c r="E140" s="3">
        <v>0</v>
      </c>
      <c r="F140" s="3">
        <v>0</v>
      </c>
      <c r="G140" s="18">
        <f t="shared" si="4"/>
        <v>0</v>
      </c>
    </row>
    <row r="141" spans="2:7" x14ac:dyDescent="0.35">
      <c r="B141" s="32" t="s">
        <v>2544</v>
      </c>
      <c r="C141" s="5" t="s">
        <v>235</v>
      </c>
      <c r="D141" s="5" t="s">
        <v>236</v>
      </c>
      <c r="E141" s="3">
        <v>170000</v>
      </c>
      <c r="F141" s="3">
        <v>143062.57</v>
      </c>
      <c r="G141" s="18">
        <f t="shared" si="4"/>
        <v>245250.12000000002</v>
      </c>
    </row>
    <row r="142" spans="2:7" x14ac:dyDescent="0.35">
      <c r="B142" s="32" t="s">
        <v>2544</v>
      </c>
      <c r="C142" s="5" t="s">
        <v>237</v>
      </c>
      <c r="D142" s="5" t="s">
        <v>238</v>
      </c>
      <c r="E142" s="3">
        <v>0</v>
      </c>
      <c r="F142" s="3">
        <v>0</v>
      </c>
      <c r="G142" s="18">
        <f t="shared" ref="G142:G221" si="6">+F142/7*12</f>
        <v>0</v>
      </c>
    </row>
    <row r="143" spans="2:7" x14ac:dyDescent="0.35">
      <c r="B143" s="32" t="s">
        <v>2544</v>
      </c>
      <c r="C143" s="5" t="s">
        <v>239</v>
      </c>
      <c r="D143" s="5" t="s">
        <v>240</v>
      </c>
      <c r="E143" s="3">
        <v>0</v>
      </c>
      <c r="F143" s="3">
        <v>0.5</v>
      </c>
      <c r="G143" s="18">
        <f t="shared" si="6"/>
        <v>0.8571428571428571</v>
      </c>
    </row>
    <row r="144" spans="2:7" x14ac:dyDescent="0.35">
      <c r="B144" s="32" t="s">
        <v>2544</v>
      </c>
      <c r="C144" s="5" t="s">
        <v>241</v>
      </c>
      <c r="D144" s="5" t="s">
        <v>242</v>
      </c>
      <c r="E144" s="3">
        <v>25000</v>
      </c>
      <c r="F144" s="3">
        <v>2076.5300000000002</v>
      </c>
      <c r="G144" s="18">
        <f t="shared" si="6"/>
        <v>3559.7657142857151</v>
      </c>
    </row>
    <row r="145" spans="2:7" x14ac:dyDescent="0.35">
      <c r="B145" s="32" t="s">
        <v>2544</v>
      </c>
      <c r="C145" s="5" t="s">
        <v>243</v>
      </c>
      <c r="D145" s="5" t="s">
        <v>244</v>
      </c>
      <c r="E145" s="3">
        <v>600</v>
      </c>
      <c r="F145" s="3">
        <v>576.03</v>
      </c>
      <c r="G145" s="18">
        <f t="shared" si="6"/>
        <v>987.4799999999999</v>
      </c>
    </row>
    <row r="146" spans="2:7" x14ac:dyDescent="0.35">
      <c r="B146" s="32" t="s">
        <v>2544</v>
      </c>
      <c r="C146" s="5" t="s">
        <v>245</v>
      </c>
      <c r="D146" s="5" t="s">
        <v>246</v>
      </c>
      <c r="E146" s="3">
        <v>100000</v>
      </c>
      <c r="F146" s="3">
        <v>28102.67</v>
      </c>
      <c r="G146" s="18">
        <f t="shared" si="6"/>
        <v>48176.005714285711</v>
      </c>
    </row>
    <row r="147" spans="2:7" x14ac:dyDescent="0.35">
      <c r="B147" s="32" t="s">
        <v>2544</v>
      </c>
      <c r="C147" s="5" t="s">
        <v>247</v>
      </c>
      <c r="D147" s="5" t="s">
        <v>248</v>
      </c>
      <c r="E147" s="3">
        <v>100000</v>
      </c>
      <c r="F147" s="3">
        <v>50332.41</v>
      </c>
      <c r="G147" s="18">
        <f t="shared" si="6"/>
        <v>86284.131428571432</v>
      </c>
    </row>
    <row r="148" spans="2:7" x14ac:dyDescent="0.35">
      <c r="B148" s="32" t="s">
        <v>2544</v>
      </c>
      <c r="C148" s="5" t="s">
        <v>249</v>
      </c>
      <c r="D148" s="5" t="s">
        <v>250</v>
      </c>
      <c r="E148" s="3">
        <v>125000</v>
      </c>
      <c r="F148" s="3">
        <v>116378.56</v>
      </c>
      <c r="G148" s="18">
        <f t="shared" si="6"/>
        <v>199506.10285714286</v>
      </c>
    </row>
    <row r="149" spans="2:7" x14ac:dyDescent="0.35">
      <c r="B149" s="32" t="s">
        <v>2544</v>
      </c>
      <c r="C149" s="5" t="s">
        <v>251</v>
      </c>
      <c r="D149" s="5" t="s">
        <v>114</v>
      </c>
      <c r="E149" s="3">
        <v>0</v>
      </c>
      <c r="F149" s="3">
        <v>0</v>
      </c>
      <c r="G149" s="18">
        <f t="shared" si="6"/>
        <v>0</v>
      </c>
    </row>
    <row r="150" spans="2:7" x14ac:dyDescent="0.35">
      <c r="B150" s="32" t="s">
        <v>2544</v>
      </c>
      <c r="C150" s="5" t="s">
        <v>252</v>
      </c>
      <c r="D150" s="5" t="s">
        <v>116</v>
      </c>
      <c r="E150" s="3">
        <v>0</v>
      </c>
      <c r="F150" s="3">
        <v>0</v>
      </c>
      <c r="G150" s="18">
        <f t="shared" si="6"/>
        <v>0</v>
      </c>
    </row>
    <row r="151" spans="2:7" x14ac:dyDescent="0.35">
      <c r="B151" s="32" t="s">
        <v>2544</v>
      </c>
      <c r="C151" s="5" t="s">
        <v>253</v>
      </c>
      <c r="D151" s="5" t="s">
        <v>254</v>
      </c>
      <c r="E151" s="3">
        <v>1800000</v>
      </c>
      <c r="F151" s="3">
        <f>65906.55-193201.93</f>
        <v>-127295.37999999999</v>
      </c>
      <c r="G151" s="18">
        <f t="shared" si="6"/>
        <v>-218220.65142857138</v>
      </c>
    </row>
    <row r="152" spans="2:7" x14ac:dyDescent="0.35">
      <c r="B152" s="32" t="s">
        <v>2544</v>
      </c>
      <c r="C152" s="5" t="s">
        <v>255</v>
      </c>
      <c r="D152" s="5" t="s">
        <v>256</v>
      </c>
      <c r="E152" s="3">
        <v>0</v>
      </c>
      <c r="F152" s="3">
        <v>0</v>
      </c>
      <c r="G152" s="18">
        <f t="shared" si="6"/>
        <v>0</v>
      </c>
    </row>
    <row r="153" spans="2:7" x14ac:dyDescent="0.35">
      <c r="B153" s="32" t="s">
        <v>2544</v>
      </c>
      <c r="C153" s="5" t="s">
        <v>257</v>
      </c>
      <c r="D153" s="11" t="s">
        <v>258</v>
      </c>
      <c r="E153" s="3">
        <v>934000</v>
      </c>
      <c r="F153" s="3">
        <f>1992339.83-1877021.83</f>
        <v>115318</v>
      </c>
      <c r="G153" s="18">
        <f t="shared" si="6"/>
        <v>197688</v>
      </c>
    </row>
    <row r="154" spans="2:7" x14ac:dyDescent="0.35">
      <c r="B154" s="32" t="s">
        <v>2544</v>
      </c>
      <c r="C154" s="5" t="s">
        <v>259</v>
      </c>
      <c r="D154" s="5" t="s">
        <v>260</v>
      </c>
      <c r="E154" s="3">
        <v>10490000</v>
      </c>
      <c r="F154" s="3">
        <f>7279760.27-3145</f>
        <v>7276615.2699999996</v>
      </c>
      <c r="G154" s="18">
        <f t="shared" si="6"/>
        <v>12474197.605714284</v>
      </c>
    </row>
    <row r="155" spans="2:7" x14ac:dyDescent="0.35">
      <c r="B155" s="32" t="s">
        <v>2544</v>
      </c>
      <c r="C155" s="5" t="s">
        <v>261</v>
      </c>
      <c r="D155" s="5" t="s">
        <v>262</v>
      </c>
      <c r="E155" s="3">
        <v>0</v>
      </c>
      <c r="F155" s="3">
        <v>0</v>
      </c>
      <c r="G155" s="18">
        <f t="shared" si="6"/>
        <v>0</v>
      </c>
    </row>
    <row r="156" spans="2:7" x14ac:dyDescent="0.35">
      <c r="B156" s="32" t="s">
        <v>2544</v>
      </c>
      <c r="C156" s="5" t="s">
        <v>263</v>
      </c>
      <c r="D156" s="5" t="s">
        <v>264</v>
      </c>
      <c r="E156" s="3">
        <v>0</v>
      </c>
      <c r="F156" s="3">
        <f>318439.26-3230</f>
        <v>315209.26</v>
      </c>
      <c r="G156" s="18">
        <f t="shared" si="6"/>
        <v>540358.73142857151</v>
      </c>
    </row>
    <row r="157" spans="2:7" x14ac:dyDescent="0.35">
      <c r="B157" s="32" t="s">
        <v>2544</v>
      </c>
      <c r="C157" s="5" t="s">
        <v>265</v>
      </c>
      <c r="D157" s="5" t="s">
        <v>266</v>
      </c>
      <c r="E157" s="3">
        <v>0</v>
      </c>
      <c r="F157" s="3"/>
      <c r="G157" s="18">
        <f t="shared" si="6"/>
        <v>0</v>
      </c>
    </row>
    <row r="158" spans="2:7" x14ac:dyDescent="0.35">
      <c r="B158" s="32" t="s">
        <v>2544</v>
      </c>
      <c r="C158" s="5" t="s">
        <v>267</v>
      </c>
      <c r="D158" s="5" t="s">
        <v>268</v>
      </c>
      <c r="E158" s="3">
        <v>0</v>
      </c>
      <c r="F158" s="3">
        <v>0</v>
      </c>
      <c r="G158" s="18">
        <f t="shared" si="6"/>
        <v>0</v>
      </c>
    </row>
    <row r="159" spans="2:7" x14ac:dyDescent="0.35">
      <c r="B159" s="32" t="s">
        <v>2544</v>
      </c>
      <c r="C159" s="5" t="s">
        <v>269</v>
      </c>
      <c r="D159" s="5" t="s">
        <v>270</v>
      </c>
      <c r="E159" s="3">
        <v>0</v>
      </c>
      <c r="F159" s="3">
        <v>0</v>
      </c>
      <c r="G159" s="18">
        <f t="shared" si="6"/>
        <v>0</v>
      </c>
    </row>
    <row r="160" spans="2:7" x14ac:dyDescent="0.35">
      <c r="B160" s="32" t="s">
        <v>2544</v>
      </c>
      <c r="C160" s="5" t="s">
        <v>271</v>
      </c>
      <c r="D160" s="5" t="s">
        <v>272</v>
      </c>
      <c r="E160" s="3">
        <v>0</v>
      </c>
      <c r="F160" s="3">
        <v>0</v>
      </c>
      <c r="G160" s="18">
        <f t="shared" si="6"/>
        <v>0</v>
      </c>
    </row>
    <row r="161" spans="1:7" x14ac:dyDescent="0.35">
      <c r="B161" s="32" t="s">
        <v>2544</v>
      </c>
      <c r="C161" s="5" t="s">
        <v>273</v>
      </c>
      <c r="D161" s="5" t="s">
        <v>120</v>
      </c>
      <c r="E161" s="3">
        <v>0</v>
      </c>
      <c r="F161" s="3">
        <v>0</v>
      </c>
      <c r="G161" s="18">
        <f t="shared" si="6"/>
        <v>0</v>
      </c>
    </row>
    <row r="162" spans="1:7" x14ac:dyDescent="0.35">
      <c r="B162" s="32" t="s">
        <v>2544</v>
      </c>
      <c r="C162" s="5" t="s">
        <v>274</v>
      </c>
      <c r="D162" s="5" t="s">
        <v>122</v>
      </c>
      <c r="E162" s="3">
        <v>-6261215</v>
      </c>
      <c r="F162" s="3">
        <v>0</v>
      </c>
      <c r="G162" s="18">
        <f t="shared" si="6"/>
        <v>0</v>
      </c>
    </row>
    <row r="163" spans="1:7" x14ac:dyDescent="0.35">
      <c r="B163" s="32" t="s">
        <v>2544</v>
      </c>
      <c r="C163" s="5" t="s">
        <v>275</v>
      </c>
      <c r="D163" s="5" t="s">
        <v>124</v>
      </c>
      <c r="E163" s="3">
        <v>0</v>
      </c>
      <c r="F163" s="3">
        <v>0</v>
      </c>
      <c r="G163" s="18">
        <f t="shared" si="6"/>
        <v>0</v>
      </c>
    </row>
    <row r="164" spans="1:7" s="8" customFormat="1" x14ac:dyDescent="0.35">
      <c r="B164" s="34" t="s">
        <v>2546</v>
      </c>
      <c r="C164" s="5"/>
      <c r="D164" s="5"/>
      <c r="E164" s="10">
        <f>SUM(E111:E163)</f>
        <v>14609503</v>
      </c>
      <c r="F164" s="10">
        <f t="shared" ref="F164:G164" si="7">SUM(F111:F163)</f>
        <v>12169672.52</v>
      </c>
      <c r="G164" s="22">
        <f t="shared" si="7"/>
        <v>20862295.748571426</v>
      </c>
    </row>
    <row r="165" spans="1:7" s="8" customFormat="1" ht="8.25" customHeight="1" x14ac:dyDescent="0.35">
      <c r="B165" s="23"/>
      <c r="E165" s="9"/>
      <c r="F165" s="9"/>
      <c r="G165" s="21"/>
    </row>
    <row r="166" spans="1:7" s="8" customFormat="1" ht="15" thickBot="1" x14ac:dyDescent="0.4">
      <c r="B166" s="35" t="s">
        <v>2548</v>
      </c>
      <c r="C166" s="25"/>
      <c r="D166" s="25"/>
      <c r="E166" s="26">
        <f>+E109+E164</f>
        <v>590847</v>
      </c>
      <c r="F166" s="26">
        <f t="shared" ref="F166:G166" si="8">+F109+F164</f>
        <v>-3274370.4600000009</v>
      </c>
      <c r="G166" s="27">
        <f t="shared" si="8"/>
        <v>-5613206.5028571449</v>
      </c>
    </row>
    <row r="167" spans="1:7" s="8" customFormat="1" x14ac:dyDescent="0.35">
      <c r="E167" s="9"/>
      <c r="F167" s="9"/>
      <c r="G167" s="9"/>
    </row>
    <row r="168" spans="1:7" s="8" customFormat="1" x14ac:dyDescent="0.35">
      <c r="E168" s="9"/>
      <c r="F168" s="9"/>
      <c r="G168" s="9"/>
    </row>
    <row r="169" spans="1:7" s="8" customFormat="1" ht="15" thickBot="1" x14ac:dyDescent="0.4">
      <c r="A169" s="28" t="s">
        <v>2587</v>
      </c>
      <c r="B169" s="28" t="s">
        <v>2550</v>
      </c>
      <c r="E169" s="9"/>
      <c r="F169" s="9"/>
      <c r="G169" s="9"/>
    </row>
    <row r="170" spans="1:7" x14ac:dyDescent="0.35">
      <c r="B170" s="31" t="s">
        <v>2543</v>
      </c>
      <c r="C170" s="14" t="s">
        <v>276</v>
      </c>
      <c r="D170" s="14" t="s">
        <v>277</v>
      </c>
      <c r="E170" s="15">
        <v>-8042750</v>
      </c>
      <c r="F170" s="15">
        <f>677654.11-8671917.16</f>
        <v>-7994263.0499999998</v>
      </c>
      <c r="G170" s="16">
        <f t="shared" si="6"/>
        <v>-13704450.942857143</v>
      </c>
    </row>
    <row r="171" spans="1:7" x14ac:dyDescent="0.35">
      <c r="B171" s="32" t="s">
        <v>2543</v>
      </c>
      <c r="C171" s="5" t="s">
        <v>278</v>
      </c>
      <c r="D171" s="5" t="s">
        <v>279</v>
      </c>
      <c r="E171" s="3">
        <v>0</v>
      </c>
      <c r="F171" s="3">
        <v>0</v>
      </c>
      <c r="G171" s="18">
        <f t="shared" si="6"/>
        <v>0</v>
      </c>
    </row>
    <row r="172" spans="1:7" x14ac:dyDescent="0.35">
      <c r="B172" s="32" t="s">
        <v>2543</v>
      </c>
      <c r="C172" s="5" t="s">
        <v>280</v>
      </c>
      <c r="D172" s="5" t="s">
        <v>281</v>
      </c>
      <c r="E172" s="3">
        <v>0</v>
      </c>
      <c r="F172" s="3">
        <f>55188.24-11353.52</f>
        <v>43834.720000000001</v>
      </c>
      <c r="G172" s="18">
        <f t="shared" si="6"/>
        <v>75145.234285714279</v>
      </c>
    </row>
    <row r="173" spans="1:7" x14ac:dyDescent="0.35">
      <c r="B173" s="32" t="s">
        <v>2543</v>
      </c>
      <c r="C173" s="5" t="s">
        <v>282</v>
      </c>
      <c r="D173" s="5" t="s">
        <v>283</v>
      </c>
      <c r="E173" s="3">
        <v>2743969</v>
      </c>
      <c r="F173" s="3">
        <f>2772914.86-3073.71</f>
        <v>2769841.15</v>
      </c>
      <c r="G173" s="18">
        <f t="shared" si="6"/>
        <v>4748299.114285714</v>
      </c>
    </row>
    <row r="174" spans="1:7" x14ac:dyDescent="0.35">
      <c r="B174" s="32" t="s">
        <v>2543</v>
      </c>
      <c r="C174" s="5" t="s">
        <v>284</v>
      </c>
      <c r="D174" s="5" t="s">
        <v>285</v>
      </c>
      <c r="E174" s="3">
        <v>416994</v>
      </c>
      <c r="F174" s="3">
        <v>423252.16</v>
      </c>
      <c r="G174" s="18">
        <f t="shared" si="6"/>
        <v>725575.13142857142</v>
      </c>
    </row>
    <row r="175" spans="1:7" x14ac:dyDescent="0.35">
      <c r="B175" s="32" t="s">
        <v>2543</v>
      </c>
      <c r="C175" s="5" t="s">
        <v>286</v>
      </c>
      <c r="D175" s="5" t="s">
        <v>287</v>
      </c>
      <c r="E175" s="3">
        <v>20000</v>
      </c>
      <c r="F175" s="3">
        <v>21080.92</v>
      </c>
      <c r="G175" s="18">
        <f t="shared" si="6"/>
        <v>36138.720000000001</v>
      </c>
    </row>
    <row r="176" spans="1:7" x14ac:dyDescent="0.35">
      <c r="B176" s="32" t="s">
        <v>2543</v>
      </c>
      <c r="C176" s="5" t="s">
        <v>288</v>
      </c>
      <c r="D176" s="5" t="s">
        <v>289</v>
      </c>
      <c r="E176" s="3">
        <v>-275000</v>
      </c>
      <c r="F176" s="3">
        <f>1935.2-131500.86</f>
        <v>-129565.65999999999</v>
      </c>
      <c r="G176" s="18">
        <f t="shared" si="6"/>
        <v>-222112.55999999997</v>
      </c>
    </row>
    <row r="177" spans="2:7" x14ac:dyDescent="0.35">
      <c r="B177" s="32" t="s">
        <v>2543</v>
      </c>
      <c r="C177" s="5" t="s">
        <v>290</v>
      </c>
      <c r="D177" s="5" t="s">
        <v>291</v>
      </c>
      <c r="E177" s="3">
        <v>-343</v>
      </c>
      <c r="F177" s="3">
        <v>-228.5</v>
      </c>
      <c r="G177" s="18">
        <f t="shared" si="6"/>
        <v>-391.71428571428578</v>
      </c>
    </row>
    <row r="178" spans="2:7" x14ac:dyDescent="0.35">
      <c r="B178" s="32" t="s">
        <v>2543</v>
      </c>
      <c r="C178" s="5" t="s">
        <v>292</v>
      </c>
      <c r="D178" s="5" t="s">
        <v>293</v>
      </c>
      <c r="E178" s="3">
        <v>-3750</v>
      </c>
      <c r="F178" s="3">
        <v>-1795.5</v>
      </c>
      <c r="G178" s="18">
        <f t="shared" si="6"/>
        <v>-3078</v>
      </c>
    </row>
    <row r="179" spans="2:7" x14ac:dyDescent="0.35">
      <c r="B179" s="32" t="s">
        <v>2543</v>
      </c>
      <c r="C179" s="5" t="s">
        <v>294</v>
      </c>
      <c r="D179" s="5" t="s">
        <v>30</v>
      </c>
      <c r="E179" s="3">
        <v>0</v>
      </c>
      <c r="F179" s="3">
        <v>0</v>
      </c>
      <c r="G179" s="18">
        <f t="shared" si="6"/>
        <v>0</v>
      </c>
    </row>
    <row r="180" spans="2:7" x14ac:dyDescent="0.35">
      <c r="B180" s="32" t="s">
        <v>2543</v>
      </c>
      <c r="C180" s="5" t="s">
        <v>295</v>
      </c>
      <c r="D180" s="5" t="s">
        <v>32</v>
      </c>
      <c r="E180" s="3">
        <v>0</v>
      </c>
      <c r="F180" s="3">
        <v>0</v>
      </c>
      <c r="G180" s="18">
        <f t="shared" si="6"/>
        <v>0</v>
      </c>
    </row>
    <row r="181" spans="2:7" s="8" customFormat="1" x14ac:dyDescent="0.35">
      <c r="B181" s="33" t="s">
        <v>2545</v>
      </c>
      <c r="C181" s="5"/>
      <c r="D181" s="5"/>
      <c r="E181" s="10">
        <f>SUM(E170:E180)</f>
        <v>-5140880</v>
      </c>
      <c r="F181" s="10">
        <f t="shared" ref="F181:G181" si="9">SUM(F170:F180)</f>
        <v>-4867843.76</v>
      </c>
      <c r="G181" s="22">
        <f t="shared" si="9"/>
        <v>-8344875.0171428584</v>
      </c>
    </row>
    <row r="182" spans="2:7" s="8" customFormat="1" x14ac:dyDescent="0.35">
      <c r="B182" s="23"/>
      <c r="E182" s="9"/>
      <c r="F182" s="9"/>
      <c r="G182" s="21"/>
    </row>
    <row r="183" spans="2:7" x14ac:dyDescent="0.35">
      <c r="B183" s="32" t="s">
        <v>2544</v>
      </c>
      <c r="C183" s="5" t="s">
        <v>296</v>
      </c>
      <c r="D183" s="5" t="s">
        <v>52</v>
      </c>
      <c r="E183" s="3">
        <v>0</v>
      </c>
      <c r="F183" s="3">
        <v>0</v>
      </c>
      <c r="G183" s="18">
        <f t="shared" si="6"/>
        <v>0</v>
      </c>
    </row>
    <row r="184" spans="2:7" x14ac:dyDescent="0.35">
      <c r="B184" s="32" t="s">
        <v>2544</v>
      </c>
      <c r="C184" s="5" t="s">
        <v>297</v>
      </c>
      <c r="D184" s="5" t="s">
        <v>298</v>
      </c>
      <c r="E184" s="3">
        <v>1028000</v>
      </c>
      <c r="F184" s="3">
        <v>0</v>
      </c>
      <c r="G184" s="18">
        <f t="shared" si="6"/>
        <v>0</v>
      </c>
    </row>
    <row r="185" spans="2:7" x14ac:dyDescent="0.35">
      <c r="B185" s="32" t="s">
        <v>2544</v>
      </c>
      <c r="C185" s="5" t="s">
        <v>299</v>
      </c>
      <c r="D185" s="5" t="s">
        <v>64</v>
      </c>
      <c r="E185" s="3">
        <v>0</v>
      </c>
      <c r="F185" s="3">
        <v>0</v>
      </c>
      <c r="G185" s="18">
        <f t="shared" si="6"/>
        <v>0</v>
      </c>
    </row>
    <row r="186" spans="2:7" x14ac:dyDescent="0.35">
      <c r="B186" s="32" t="s">
        <v>2544</v>
      </c>
      <c r="C186" s="5" t="s">
        <v>300</v>
      </c>
      <c r="D186" s="5" t="s">
        <v>66</v>
      </c>
      <c r="E186" s="3">
        <v>0</v>
      </c>
      <c r="F186" s="3">
        <v>0</v>
      </c>
      <c r="G186" s="18">
        <f t="shared" si="6"/>
        <v>0</v>
      </c>
    </row>
    <row r="187" spans="2:7" x14ac:dyDescent="0.35">
      <c r="B187" s="32" t="s">
        <v>2544</v>
      </c>
      <c r="C187" s="5" t="s">
        <v>301</v>
      </c>
      <c r="D187" s="5" t="s">
        <v>68</v>
      </c>
      <c r="E187" s="3">
        <v>0</v>
      </c>
      <c r="F187" s="3">
        <v>0</v>
      </c>
      <c r="G187" s="18">
        <f t="shared" si="6"/>
        <v>0</v>
      </c>
    </row>
    <row r="188" spans="2:7" x14ac:dyDescent="0.35">
      <c r="B188" s="32" t="s">
        <v>2544</v>
      </c>
      <c r="C188" s="5" t="s">
        <v>302</v>
      </c>
      <c r="D188" s="5" t="s">
        <v>303</v>
      </c>
      <c r="E188" s="3">
        <v>0</v>
      </c>
      <c r="F188" s="3">
        <v>0</v>
      </c>
      <c r="G188" s="18">
        <f t="shared" si="6"/>
        <v>0</v>
      </c>
    </row>
    <row r="189" spans="2:7" x14ac:dyDescent="0.35">
      <c r="B189" s="32" t="s">
        <v>2544</v>
      </c>
      <c r="C189" s="5" t="s">
        <v>304</v>
      </c>
      <c r="D189" s="5" t="s">
        <v>305</v>
      </c>
      <c r="E189" s="3">
        <v>50000</v>
      </c>
      <c r="F189" s="3">
        <v>0</v>
      </c>
      <c r="G189" s="18">
        <f t="shared" si="6"/>
        <v>0</v>
      </c>
    </row>
    <row r="190" spans="2:7" x14ac:dyDescent="0.35">
      <c r="B190" s="32" t="s">
        <v>2544</v>
      </c>
      <c r="C190" s="5" t="s">
        <v>306</v>
      </c>
      <c r="D190" s="5" t="s">
        <v>307</v>
      </c>
      <c r="E190" s="3">
        <v>0</v>
      </c>
      <c r="F190" s="3">
        <v>0</v>
      </c>
      <c r="G190" s="18">
        <f t="shared" si="6"/>
        <v>0</v>
      </c>
    </row>
    <row r="191" spans="2:7" x14ac:dyDescent="0.35">
      <c r="B191" s="32" t="s">
        <v>2544</v>
      </c>
      <c r="C191" s="5" t="s">
        <v>308</v>
      </c>
      <c r="D191" s="5" t="s">
        <v>309</v>
      </c>
      <c r="E191" s="3">
        <v>0</v>
      </c>
      <c r="F191" s="3">
        <v>0</v>
      </c>
      <c r="G191" s="18">
        <f t="shared" si="6"/>
        <v>0</v>
      </c>
    </row>
    <row r="192" spans="2:7" x14ac:dyDescent="0.35">
      <c r="B192" s="32" t="s">
        <v>2544</v>
      </c>
      <c r="C192" s="5" t="s">
        <v>310</v>
      </c>
      <c r="D192" s="5" t="s">
        <v>120</v>
      </c>
      <c r="E192" s="3">
        <v>0</v>
      </c>
      <c r="F192" s="3">
        <v>0</v>
      </c>
      <c r="G192" s="18">
        <f t="shared" si="6"/>
        <v>0</v>
      </c>
    </row>
    <row r="193" spans="1:7" x14ac:dyDescent="0.35">
      <c r="B193" s="32" t="s">
        <v>2544</v>
      </c>
      <c r="C193" s="5" t="s">
        <v>311</v>
      </c>
      <c r="D193" s="5" t="s">
        <v>124</v>
      </c>
      <c r="E193" s="3">
        <v>0</v>
      </c>
      <c r="F193" s="3">
        <v>0</v>
      </c>
      <c r="G193" s="18">
        <f t="shared" si="6"/>
        <v>0</v>
      </c>
    </row>
    <row r="194" spans="1:7" s="8" customFormat="1" x14ac:dyDescent="0.35">
      <c r="B194" s="33" t="s">
        <v>2546</v>
      </c>
      <c r="C194" s="5"/>
      <c r="D194" s="5"/>
      <c r="E194" s="10">
        <f>SUM(E183:E193)</f>
        <v>1078000</v>
      </c>
      <c r="F194" s="10">
        <f t="shared" ref="F194:G194" si="10">SUM(F183:F193)</f>
        <v>0</v>
      </c>
      <c r="G194" s="22">
        <f t="shared" si="10"/>
        <v>0</v>
      </c>
    </row>
    <row r="195" spans="1:7" s="8" customFormat="1" ht="9" customHeight="1" x14ac:dyDescent="0.35">
      <c r="B195" s="23"/>
      <c r="E195" s="9"/>
      <c r="F195" s="9"/>
      <c r="G195" s="21"/>
    </row>
    <row r="196" spans="1:7" s="8" customFormat="1" ht="15" thickBot="1" x14ac:dyDescent="0.4">
      <c r="B196" s="35" t="s">
        <v>2548</v>
      </c>
      <c r="C196" s="25"/>
      <c r="D196" s="25"/>
      <c r="E196" s="26">
        <f>+E181+E194</f>
        <v>-4062880</v>
      </c>
      <c r="F196" s="26">
        <f t="shared" ref="F196:G196" si="11">+F181+F194</f>
        <v>-4867843.76</v>
      </c>
      <c r="G196" s="27">
        <f t="shared" si="11"/>
        <v>-8344875.0171428584</v>
      </c>
    </row>
    <row r="197" spans="1:7" s="8" customFormat="1" x14ac:dyDescent="0.35">
      <c r="E197" s="9"/>
      <c r="F197" s="9"/>
      <c r="G197" s="9"/>
    </row>
    <row r="198" spans="1:7" s="8" customFormat="1" x14ac:dyDescent="0.35">
      <c r="E198" s="9"/>
      <c r="F198" s="9"/>
      <c r="G198" s="9"/>
    </row>
    <row r="199" spans="1:7" s="8" customFormat="1" ht="15" thickBot="1" x14ac:dyDescent="0.4">
      <c r="A199" s="28" t="s">
        <v>2551</v>
      </c>
      <c r="B199" s="28" t="s">
        <v>2551</v>
      </c>
      <c r="E199" s="9"/>
      <c r="F199" s="9"/>
      <c r="G199" s="9"/>
    </row>
    <row r="200" spans="1:7" x14ac:dyDescent="0.35">
      <c r="B200" s="31" t="s">
        <v>2543</v>
      </c>
      <c r="C200" s="14" t="s">
        <v>312</v>
      </c>
      <c r="D200" s="14" t="s">
        <v>126</v>
      </c>
      <c r="E200" s="15">
        <v>0</v>
      </c>
      <c r="F200" s="15">
        <v>0</v>
      </c>
      <c r="G200" s="16">
        <f t="shared" si="6"/>
        <v>0</v>
      </c>
    </row>
    <row r="201" spans="1:7" x14ac:dyDescent="0.35">
      <c r="B201" s="32" t="s">
        <v>2543</v>
      </c>
      <c r="C201" s="5" t="s">
        <v>313</v>
      </c>
      <c r="D201" s="5" t="s">
        <v>136</v>
      </c>
      <c r="E201" s="3">
        <v>0</v>
      </c>
      <c r="F201" s="3">
        <v>0</v>
      </c>
      <c r="G201" s="18">
        <f t="shared" si="6"/>
        <v>0</v>
      </c>
    </row>
    <row r="202" spans="1:7" x14ac:dyDescent="0.35">
      <c r="B202" s="32" t="s">
        <v>2543</v>
      </c>
      <c r="C202" s="5" t="s">
        <v>314</v>
      </c>
      <c r="D202" s="5" t="s">
        <v>315</v>
      </c>
      <c r="E202" s="3">
        <v>0</v>
      </c>
      <c r="F202" s="3">
        <v>0</v>
      </c>
      <c r="G202" s="18">
        <f t="shared" si="6"/>
        <v>0</v>
      </c>
    </row>
    <row r="203" spans="1:7" x14ac:dyDescent="0.35">
      <c r="B203" s="32" t="s">
        <v>2543</v>
      </c>
      <c r="C203" s="5" t="s">
        <v>316</v>
      </c>
      <c r="D203" s="5" t="s">
        <v>317</v>
      </c>
      <c r="E203" s="3">
        <v>-1000</v>
      </c>
      <c r="F203" s="3">
        <v>0</v>
      </c>
      <c r="G203" s="18">
        <f t="shared" si="6"/>
        <v>0</v>
      </c>
    </row>
    <row r="204" spans="1:7" x14ac:dyDescent="0.35">
      <c r="B204" s="32" t="s">
        <v>2543</v>
      </c>
      <c r="C204" s="5" t="s">
        <v>318</v>
      </c>
      <c r="D204" s="5" t="s">
        <v>30</v>
      </c>
      <c r="E204" s="3">
        <v>0</v>
      </c>
      <c r="F204" s="3">
        <v>0</v>
      </c>
      <c r="G204" s="18">
        <f t="shared" si="6"/>
        <v>0</v>
      </c>
    </row>
    <row r="205" spans="1:7" x14ac:dyDescent="0.35">
      <c r="B205" s="32" t="s">
        <v>2543</v>
      </c>
      <c r="C205" s="5" t="s">
        <v>319</v>
      </c>
      <c r="D205" s="5" t="s">
        <v>32</v>
      </c>
      <c r="E205" s="3">
        <v>0</v>
      </c>
      <c r="F205" s="3">
        <v>0</v>
      </c>
      <c r="G205" s="18">
        <f t="shared" si="6"/>
        <v>0</v>
      </c>
    </row>
    <row r="206" spans="1:7" s="8" customFormat="1" x14ac:dyDescent="0.35">
      <c r="B206" s="33" t="s">
        <v>2545</v>
      </c>
      <c r="C206" s="5"/>
      <c r="D206" s="5"/>
      <c r="E206" s="10">
        <f>SUM(E200:E205)</f>
        <v>-1000</v>
      </c>
      <c r="F206" s="10">
        <f t="shared" ref="F206:G206" si="12">SUM(F200:F205)</f>
        <v>0</v>
      </c>
      <c r="G206" s="22">
        <f t="shared" si="12"/>
        <v>0</v>
      </c>
    </row>
    <row r="207" spans="1:7" s="8" customFormat="1" x14ac:dyDescent="0.35">
      <c r="B207" s="23"/>
      <c r="E207" s="9"/>
      <c r="F207" s="9"/>
      <c r="G207" s="21"/>
    </row>
    <row r="208" spans="1:7" x14ac:dyDescent="0.35">
      <c r="B208" s="32" t="s">
        <v>2544</v>
      </c>
      <c r="C208" s="5" t="s">
        <v>320</v>
      </c>
      <c r="D208" s="5" t="s">
        <v>34</v>
      </c>
      <c r="E208" s="3">
        <v>3988773</v>
      </c>
      <c r="F208" s="3">
        <f>1933609.09-2252.41</f>
        <v>1931356.6800000002</v>
      </c>
      <c r="G208" s="18">
        <f t="shared" si="6"/>
        <v>3310897.1657142858</v>
      </c>
    </row>
    <row r="209" spans="2:7" x14ac:dyDescent="0.35">
      <c r="B209" s="32" t="s">
        <v>2544</v>
      </c>
      <c r="C209" s="5" t="s">
        <v>321</v>
      </c>
      <c r="D209" s="5" t="s">
        <v>36</v>
      </c>
      <c r="E209" s="3">
        <v>332398</v>
      </c>
      <c r="F209" s="3">
        <v>224947.3</v>
      </c>
      <c r="G209" s="18">
        <f t="shared" si="6"/>
        <v>385623.94285714283</v>
      </c>
    </row>
    <row r="210" spans="2:7" x14ac:dyDescent="0.35">
      <c r="B210" s="32" t="s">
        <v>2544</v>
      </c>
      <c r="C210" s="5" t="s">
        <v>322</v>
      </c>
      <c r="D210" s="5" t="s">
        <v>38</v>
      </c>
      <c r="E210" s="3">
        <v>0</v>
      </c>
      <c r="F210" s="3">
        <v>0</v>
      </c>
      <c r="G210" s="18">
        <f t="shared" si="6"/>
        <v>0</v>
      </c>
    </row>
    <row r="211" spans="2:7" x14ac:dyDescent="0.35">
      <c r="B211" s="32" t="s">
        <v>2544</v>
      </c>
      <c r="C211" s="5" t="s">
        <v>323</v>
      </c>
      <c r="D211" s="5" t="s">
        <v>40</v>
      </c>
      <c r="E211" s="3">
        <v>0</v>
      </c>
      <c r="F211" s="3">
        <v>0</v>
      </c>
      <c r="G211" s="18">
        <f t="shared" si="6"/>
        <v>0</v>
      </c>
    </row>
    <row r="212" spans="2:7" x14ac:dyDescent="0.35">
      <c r="B212" s="32" t="s">
        <v>2544</v>
      </c>
      <c r="C212" s="5" t="s">
        <v>324</v>
      </c>
      <c r="D212" s="5" t="s">
        <v>197</v>
      </c>
      <c r="E212" s="3">
        <v>0</v>
      </c>
      <c r="F212" s="3">
        <v>0</v>
      </c>
      <c r="G212" s="18">
        <f t="shared" si="6"/>
        <v>0</v>
      </c>
    </row>
    <row r="213" spans="2:7" x14ac:dyDescent="0.35">
      <c r="B213" s="32" t="s">
        <v>2544</v>
      </c>
      <c r="C213" s="5" t="s">
        <v>325</v>
      </c>
      <c r="D213" s="5" t="s">
        <v>42</v>
      </c>
      <c r="E213" s="3">
        <v>96846</v>
      </c>
      <c r="F213" s="3">
        <v>47863.55</v>
      </c>
      <c r="G213" s="18">
        <f t="shared" si="6"/>
        <v>82051.8</v>
      </c>
    </row>
    <row r="214" spans="2:7" x14ac:dyDescent="0.35">
      <c r="B214" s="32" t="s">
        <v>2544</v>
      </c>
      <c r="C214" s="5" t="s">
        <v>326</v>
      </c>
      <c r="D214" s="5" t="s">
        <v>44</v>
      </c>
      <c r="E214" s="3">
        <v>18830</v>
      </c>
      <c r="F214" s="3">
        <v>9837.68</v>
      </c>
      <c r="G214" s="18">
        <f t="shared" si="6"/>
        <v>16864.594285714287</v>
      </c>
    </row>
    <row r="215" spans="2:7" x14ac:dyDescent="0.35">
      <c r="B215" s="32" t="s">
        <v>2544</v>
      </c>
      <c r="C215" s="5" t="s">
        <v>327</v>
      </c>
      <c r="D215" s="5" t="s">
        <v>46</v>
      </c>
      <c r="E215" s="3">
        <v>39888</v>
      </c>
      <c r="F215" s="3">
        <v>691.56</v>
      </c>
      <c r="G215" s="18">
        <f t="shared" si="6"/>
        <v>1185.5314285714285</v>
      </c>
    </row>
    <row r="216" spans="2:7" x14ac:dyDescent="0.35">
      <c r="B216" s="32" t="s">
        <v>2544</v>
      </c>
      <c r="C216" s="5" t="s">
        <v>328</v>
      </c>
      <c r="D216" s="5" t="s">
        <v>48</v>
      </c>
      <c r="E216" s="3">
        <v>251210</v>
      </c>
      <c r="F216" s="3">
        <v>0</v>
      </c>
      <c r="G216" s="18">
        <f t="shared" si="6"/>
        <v>0</v>
      </c>
    </row>
    <row r="217" spans="2:7" x14ac:dyDescent="0.35">
      <c r="B217" s="32" t="s">
        <v>2544</v>
      </c>
      <c r="C217" s="5" t="s">
        <v>329</v>
      </c>
      <c r="D217" s="5" t="s">
        <v>50</v>
      </c>
      <c r="E217" s="3">
        <v>39888</v>
      </c>
      <c r="F217" s="3">
        <v>19934.97</v>
      </c>
      <c r="G217" s="18">
        <f t="shared" si="6"/>
        <v>34174.234285714287</v>
      </c>
    </row>
    <row r="218" spans="2:7" x14ac:dyDescent="0.35">
      <c r="B218" s="32" t="s">
        <v>2544</v>
      </c>
      <c r="C218" s="5" t="s">
        <v>330</v>
      </c>
      <c r="D218" s="5" t="s">
        <v>331</v>
      </c>
      <c r="E218" s="3">
        <v>3141</v>
      </c>
      <c r="F218" s="3">
        <v>0</v>
      </c>
      <c r="G218" s="18">
        <f t="shared" si="6"/>
        <v>0</v>
      </c>
    </row>
    <row r="219" spans="2:7" x14ac:dyDescent="0.35">
      <c r="B219" s="32" t="s">
        <v>2544</v>
      </c>
      <c r="C219" s="5" t="s">
        <v>332</v>
      </c>
      <c r="D219" s="5" t="s">
        <v>52</v>
      </c>
      <c r="E219" s="3">
        <v>0</v>
      </c>
      <c r="F219" s="3">
        <v>93333.47</v>
      </c>
      <c r="G219" s="18">
        <f t="shared" si="6"/>
        <v>160000.23428571428</v>
      </c>
    </row>
    <row r="220" spans="2:7" x14ac:dyDescent="0.35">
      <c r="B220" s="32" t="s">
        <v>2544</v>
      </c>
      <c r="C220" s="5" t="s">
        <v>333</v>
      </c>
      <c r="D220" s="5" t="s">
        <v>64</v>
      </c>
      <c r="E220" s="3">
        <v>217800</v>
      </c>
      <c r="F220" s="3">
        <v>0</v>
      </c>
      <c r="G220" s="18">
        <f t="shared" si="6"/>
        <v>0</v>
      </c>
    </row>
    <row r="221" spans="2:7" x14ac:dyDescent="0.35">
      <c r="B221" s="32" t="s">
        <v>2544</v>
      </c>
      <c r="C221" s="5" t="s">
        <v>334</v>
      </c>
      <c r="D221" s="5" t="s">
        <v>66</v>
      </c>
      <c r="E221" s="3">
        <v>0</v>
      </c>
      <c r="F221" s="3">
        <v>0</v>
      </c>
      <c r="G221" s="18">
        <f t="shared" si="6"/>
        <v>0</v>
      </c>
    </row>
    <row r="222" spans="2:7" x14ac:dyDescent="0.35">
      <c r="B222" s="32" t="s">
        <v>2544</v>
      </c>
      <c r="C222" s="5" t="s">
        <v>335</v>
      </c>
      <c r="D222" s="5" t="s">
        <v>68</v>
      </c>
      <c r="E222" s="3">
        <v>0</v>
      </c>
      <c r="F222" s="3">
        <v>0</v>
      </c>
      <c r="G222" s="18">
        <f t="shared" ref="G222:G301" si="13">+F222/7*12</f>
        <v>0</v>
      </c>
    </row>
    <row r="223" spans="2:7" x14ac:dyDescent="0.35">
      <c r="B223" s="32" t="s">
        <v>2544</v>
      </c>
      <c r="C223" s="5" t="s">
        <v>336</v>
      </c>
      <c r="D223" s="5" t="s">
        <v>90</v>
      </c>
      <c r="E223" s="3">
        <v>6000</v>
      </c>
      <c r="F223" s="3">
        <v>6000</v>
      </c>
      <c r="G223" s="18">
        <f t="shared" si="13"/>
        <v>10285.714285714286</v>
      </c>
    </row>
    <row r="224" spans="2:7" x14ac:dyDescent="0.35">
      <c r="B224" s="32" t="s">
        <v>2544</v>
      </c>
      <c r="C224" s="5" t="s">
        <v>337</v>
      </c>
      <c r="D224" s="5" t="s">
        <v>92</v>
      </c>
      <c r="E224" s="3">
        <v>500</v>
      </c>
      <c r="F224" s="3">
        <v>0</v>
      </c>
      <c r="G224" s="18">
        <f t="shared" si="13"/>
        <v>0</v>
      </c>
    </row>
    <row r="225" spans="2:7" x14ac:dyDescent="0.35">
      <c r="B225" s="32" t="s">
        <v>2544</v>
      </c>
      <c r="C225" s="5" t="s">
        <v>338</v>
      </c>
      <c r="D225" s="5" t="s">
        <v>94</v>
      </c>
      <c r="E225" s="3">
        <v>0</v>
      </c>
      <c r="F225" s="3">
        <v>-542.59</v>
      </c>
      <c r="G225" s="18">
        <f t="shared" si="13"/>
        <v>-930.15428571428572</v>
      </c>
    </row>
    <row r="226" spans="2:7" x14ac:dyDescent="0.35">
      <c r="B226" s="32" t="s">
        <v>2544</v>
      </c>
      <c r="C226" s="5" t="s">
        <v>339</v>
      </c>
      <c r="D226" s="5" t="s">
        <v>340</v>
      </c>
      <c r="E226" s="3">
        <v>2000</v>
      </c>
      <c r="F226" s="3">
        <f>1408-172.91</f>
        <v>1235.0899999999999</v>
      </c>
      <c r="G226" s="18">
        <f t="shared" si="13"/>
        <v>2117.2971428571427</v>
      </c>
    </row>
    <row r="227" spans="2:7" x14ac:dyDescent="0.35">
      <c r="B227" s="32" t="s">
        <v>2544</v>
      </c>
      <c r="C227" s="5" t="s">
        <v>341</v>
      </c>
      <c r="D227" s="5" t="s">
        <v>342</v>
      </c>
      <c r="E227" s="3">
        <v>0</v>
      </c>
      <c r="F227" s="3">
        <v>0</v>
      </c>
      <c r="G227" s="18">
        <f t="shared" si="13"/>
        <v>0</v>
      </c>
    </row>
    <row r="228" spans="2:7" x14ac:dyDescent="0.35">
      <c r="B228" s="32" t="s">
        <v>2544</v>
      </c>
      <c r="C228" s="5" t="s">
        <v>343</v>
      </c>
      <c r="D228" s="5" t="s">
        <v>344</v>
      </c>
      <c r="E228" s="3">
        <v>15000</v>
      </c>
      <c r="F228" s="3">
        <v>7385.13</v>
      </c>
      <c r="G228" s="18">
        <f t="shared" si="13"/>
        <v>12660.222857142857</v>
      </c>
    </row>
    <row r="229" spans="2:7" x14ac:dyDescent="0.35">
      <c r="B229" s="32" t="s">
        <v>2544</v>
      </c>
      <c r="C229" s="5" t="s">
        <v>345</v>
      </c>
      <c r="D229" s="5" t="s">
        <v>346</v>
      </c>
      <c r="E229" s="3">
        <v>0</v>
      </c>
      <c r="F229" s="3">
        <v>0</v>
      </c>
      <c r="G229" s="18">
        <f t="shared" si="13"/>
        <v>0</v>
      </c>
    </row>
    <row r="230" spans="2:7" x14ac:dyDescent="0.35">
      <c r="B230" s="32" t="s">
        <v>2544</v>
      </c>
      <c r="C230" s="5" t="s">
        <v>347</v>
      </c>
      <c r="D230" s="5" t="s">
        <v>223</v>
      </c>
      <c r="E230" s="3">
        <v>250000</v>
      </c>
      <c r="F230" s="3">
        <v>29509.27</v>
      </c>
      <c r="G230" s="18">
        <f t="shared" si="13"/>
        <v>50587.319999999992</v>
      </c>
    </row>
    <row r="231" spans="2:7" x14ac:dyDescent="0.35">
      <c r="B231" s="32" t="s">
        <v>2544</v>
      </c>
      <c r="C231" s="5" t="s">
        <v>348</v>
      </c>
      <c r="D231" s="5" t="s">
        <v>349</v>
      </c>
      <c r="E231" s="3">
        <v>2000</v>
      </c>
      <c r="F231" s="3">
        <f>209.2-25.69</f>
        <v>183.51</v>
      </c>
      <c r="G231" s="18">
        <f t="shared" si="13"/>
        <v>314.58857142857141</v>
      </c>
    </row>
    <row r="232" spans="2:7" x14ac:dyDescent="0.35">
      <c r="B232" s="32" t="s">
        <v>2544</v>
      </c>
      <c r="C232" s="5" t="s">
        <v>350</v>
      </c>
      <c r="D232" s="5" t="s">
        <v>351</v>
      </c>
      <c r="E232" s="3">
        <v>750</v>
      </c>
      <c r="F232" s="3">
        <v>1432.9</v>
      </c>
      <c r="G232" s="18">
        <f t="shared" si="13"/>
        <v>2456.4</v>
      </c>
    </row>
    <row r="233" spans="2:7" x14ac:dyDescent="0.35">
      <c r="B233" s="32" t="s">
        <v>2544</v>
      </c>
      <c r="C233" s="5" t="s">
        <v>352</v>
      </c>
      <c r="D233" s="5" t="s">
        <v>98</v>
      </c>
      <c r="E233" s="3">
        <v>30000</v>
      </c>
      <c r="F233" s="3">
        <v>5623</v>
      </c>
      <c r="G233" s="18">
        <f t="shared" si="13"/>
        <v>9639.4285714285725</v>
      </c>
    </row>
    <row r="234" spans="2:7" x14ac:dyDescent="0.35">
      <c r="B234" s="32" t="s">
        <v>2544</v>
      </c>
      <c r="C234" s="5" t="s">
        <v>353</v>
      </c>
      <c r="D234" s="5" t="s">
        <v>102</v>
      </c>
      <c r="E234" s="3">
        <v>0</v>
      </c>
      <c r="F234" s="3">
        <v>0</v>
      </c>
      <c r="G234" s="18">
        <f t="shared" si="13"/>
        <v>0</v>
      </c>
    </row>
    <row r="235" spans="2:7" x14ac:dyDescent="0.35">
      <c r="B235" s="32" t="s">
        <v>2544</v>
      </c>
      <c r="C235" s="5" t="s">
        <v>354</v>
      </c>
      <c r="D235" s="5" t="s">
        <v>355</v>
      </c>
      <c r="E235" s="3">
        <v>5000</v>
      </c>
      <c r="F235" s="3">
        <f>171470.3-500</f>
        <v>170970.3</v>
      </c>
      <c r="G235" s="18">
        <f t="shared" si="13"/>
        <v>293091.94285714283</v>
      </c>
    </row>
    <row r="236" spans="2:7" x14ac:dyDescent="0.35">
      <c r="B236" s="32" t="s">
        <v>2544</v>
      </c>
      <c r="C236" s="5" t="s">
        <v>356</v>
      </c>
      <c r="D236" s="5" t="s">
        <v>357</v>
      </c>
      <c r="E236" s="3">
        <v>3500</v>
      </c>
      <c r="F236" s="3">
        <v>2576</v>
      </c>
      <c r="G236" s="18">
        <f t="shared" si="13"/>
        <v>4416</v>
      </c>
    </row>
    <row r="237" spans="2:7" x14ac:dyDescent="0.35">
      <c r="B237" s="32" t="s">
        <v>2544</v>
      </c>
      <c r="C237" s="5" t="s">
        <v>358</v>
      </c>
      <c r="D237" s="5" t="s">
        <v>359</v>
      </c>
      <c r="E237" s="3">
        <v>0</v>
      </c>
      <c r="F237" s="3">
        <v>0</v>
      </c>
      <c r="G237" s="18">
        <f t="shared" si="13"/>
        <v>0</v>
      </c>
    </row>
    <row r="238" spans="2:7" x14ac:dyDescent="0.35">
      <c r="B238" s="32" t="s">
        <v>2544</v>
      </c>
      <c r="C238" s="5" t="s">
        <v>360</v>
      </c>
      <c r="D238" s="5" t="s">
        <v>238</v>
      </c>
      <c r="E238" s="3">
        <v>0</v>
      </c>
      <c r="F238" s="3">
        <v>0</v>
      </c>
      <c r="G238" s="18">
        <f t="shared" si="13"/>
        <v>0</v>
      </c>
    </row>
    <row r="239" spans="2:7" x14ac:dyDescent="0.35">
      <c r="B239" s="32" t="s">
        <v>2544</v>
      </c>
      <c r="C239" s="5" t="s">
        <v>361</v>
      </c>
      <c r="D239" s="5" t="s">
        <v>240</v>
      </c>
      <c r="E239" s="3">
        <v>0</v>
      </c>
      <c r="F239" s="3">
        <v>0</v>
      </c>
      <c r="G239" s="18">
        <f t="shared" si="13"/>
        <v>0</v>
      </c>
    </row>
    <row r="240" spans="2:7" x14ac:dyDescent="0.35">
      <c r="B240" s="32" t="s">
        <v>2544</v>
      </c>
      <c r="C240" s="5" t="s">
        <v>362</v>
      </c>
      <c r="D240" s="5" t="s">
        <v>244</v>
      </c>
      <c r="E240" s="3">
        <v>0</v>
      </c>
      <c r="F240" s="3">
        <v>0</v>
      </c>
      <c r="G240" s="18">
        <f t="shared" si="13"/>
        <v>0</v>
      </c>
    </row>
    <row r="241" spans="1:7" x14ac:dyDescent="0.35">
      <c r="B241" s="32" t="s">
        <v>2544</v>
      </c>
      <c r="C241" s="5" t="s">
        <v>363</v>
      </c>
      <c r="D241" s="5" t="s">
        <v>248</v>
      </c>
      <c r="E241" s="3">
        <v>50000</v>
      </c>
      <c r="F241" s="3">
        <v>114833.95</v>
      </c>
      <c r="G241" s="18">
        <f t="shared" si="13"/>
        <v>196858.19999999998</v>
      </c>
    </row>
    <row r="242" spans="1:7" x14ac:dyDescent="0.35">
      <c r="B242" s="32" t="s">
        <v>2544</v>
      </c>
      <c r="C242" s="5" t="s">
        <v>364</v>
      </c>
      <c r="D242" s="5" t="s">
        <v>250</v>
      </c>
      <c r="E242" s="3">
        <v>0</v>
      </c>
      <c r="F242" s="3">
        <v>0</v>
      </c>
      <c r="G242" s="18">
        <f t="shared" si="13"/>
        <v>0</v>
      </c>
    </row>
    <row r="243" spans="1:7" x14ac:dyDescent="0.35">
      <c r="B243" s="32" t="s">
        <v>2544</v>
      </c>
      <c r="C243" s="5" t="s">
        <v>365</v>
      </c>
      <c r="D243" s="5" t="s">
        <v>120</v>
      </c>
      <c r="E243" s="3">
        <v>0</v>
      </c>
      <c r="F243" s="3">
        <v>0</v>
      </c>
      <c r="G243" s="18">
        <f t="shared" si="13"/>
        <v>0</v>
      </c>
    </row>
    <row r="244" spans="1:7" x14ac:dyDescent="0.35">
      <c r="B244" s="32" t="s">
        <v>2544</v>
      </c>
      <c r="C244" s="5" t="s">
        <v>366</v>
      </c>
      <c r="D244" s="5" t="s">
        <v>122</v>
      </c>
      <c r="E244" s="3">
        <v>-592199</v>
      </c>
      <c r="F244" s="3">
        <v>0</v>
      </c>
      <c r="G244" s="18">
        <f t="shared" si="13"/>
        <v>0</v>
      </c>
    </row>
    <row r="245" spans="1:7" x14ac:dyDescent="0.35">
      <c r="B245" s="32" t="s">
        <v>2544</v>
      </c>
      <c r="C245" s="5" t="s">
        <v>367</v>
      </c>
      <c r="D245" s="5" t="s">
        <v>368</v>
      </c>
      <c r="E245" s="3">
        <v>100</v>
      </c>
      <c r="F245" s="3">
        <v>0</v>
      </c>
      <c r="G245" s="18">
        <f t="shared" si="13"/>
        <v>0</v>
      </c>
    </row>
    <row r="246" spans="1:7" x14ac:dyDescent="0.35">
      <c r="B246" s="32" t="s">
        <v>2544</v>
      </c>
      <c r="C246" s="5" t="s">
        <v>369</v>
      </c>
      <c r="D246" s="5" t="s">
        <v>124</v>
      </c>
      <c r="E246" s="3">
        <v>0</v>
      </c>
      <c r="F246" s="3">
        <v>0</v>
      </c>
      <c r="G246" s="18">
        <f t="shared" si="13"/>
        <v>0</v>
      </c>
    </row>
    <row r="247" spans="1:7" s="8" customFormat="1" x14ac:dyDescent="0.35">
      <c r="B247" s="33" t="s">
        <v>2546</v>
      </c>
      <c r="C247" s="5"/>
      <c r="D247" s="5"/>
      <c r="E247" s="10">
        <f>SUM(E208:E246)</f>
        <v>4761425</v>
      </c>
      <c r="F247" s="10">
        <f t="shared" ref="F247:G247" si="14">SUM(F208:F246)</f>
        <v>2667171.77</v>
      </c>
      <c r="G247" s="22">
        <f t="shared" si="14"/>
        <v>4572294.4628571421</v>
      </c>
    </row>
    <row r="248" spans="1:7" s="8" customFormat="1" ht="10.5" customHeight="1" x14ac:dyDescent="0.35">
      <c r="B248" s="23"/>
      <c r="E248" s="9"/>
      <c r="F248" s="9"/>
      <c r="G248" s="21"/>
    </row>
    <row r="249" spans="1:7" s="8" customFormat="1" ht="15" thickBot="1" x14ac:dyDescent="0.4">
      <c r="B249" s="35" t="s">
        <v>2548</v>
      </c>
      <c r="C249" s="25"/>
      <c r="D249" s="25"/>
      <c r="E249" s="26">
        <f>+E206+E247</f>
        <v>4760425</v>
      </c>
      <c r="F249" s="26">
        <f t="shared" ref="F249:G249" si="15">+F206+F247</f>
        <v>2667171.77</v>
      </c>
      <c r="G249" s="27">
        <f t="shared" si="15"/>
        <v>4572294.4628571421</v>
      </c>
    </row>
    <row r="250" spans="1:7" s="8" customFormat="1" x14ac:dyDescent="0.35">
      <c r="E250" s="9"/>
      <c r="F250" s="9"/>
      <c r="G250" s="9"/>
    </row>
    <row r="251" spans="1:7" s="8" customFormat="1" x14ac:dyDescent="0.35">
      <c r="E251" s="9"/>
      <c r="F251" s="9"/>
      <c r="G251" s="9"/>
    </row>
    <row r="252" spans="1:7" s="8" customFormat="1" ht="15" thickBot="1" x14ac:dyDescent="0.4">
      <c r="A252" s="12" t="s">
        <v>2596</v>
      </c>
      <c r="B252" s="28" t="s">
        <v>2552</v>
      </c>
      <c r="E252" s="9"/>
      <c r="F252" s="9"/>
      <c r="G252" s="9"/>
    </row>
    <row r="253" spans="1:7" x14ac:dyDescent="0.35">
      <c r="B253" s="31" t="s">
        <v>2543</v>
      </c>
      <c r="C253" s="14" t="s">
        <v>370</v>
      </c>
      <c r="D253" s="14" t="s">
        <v>371</v>
      </c>
      <c r="E253" s="15">
        <v>0</v>
      </c>
      <c r="F253" s="15">
        <v>-285</v>
      </c>
      <c r="G253" s="16">
        <f t="shared" si="13"/>
        <v>-488.57142857142856</v>
      </c>
    </row>
    <row r="254" spans="1:7" x14ac:dyDescent="0.35">
      <c r="B254" s="32" t="s">
        <v>2543</v>
      </c>
      <c r="C254" s="5" t="s">
        <v>372</v>
      </c>
      <c r="D254" s="5" t="s">
        <v>30</v>
      </c>
      <c r="E254" s="3">
        <v>0</v>
      </c>
      <c r="F254" s="3">
        <v>0</v>
      </c>
      <c r="G254" s="18">
        <f t="shared" si="13"/>
        <v>0</v>
      </c>
    </row>
    <row r="255" spans="1:7" x14ac:dyDescent="0.35">
      <c r="B255" s="32" t="s">
        <v>2543</v>
      </c>
      <c r="C255" s="5" t="s">
        <v>373</v>
      </c>
      <c r="D255" s="5" t="s">
        <v>32</v>
      </c>
      <c r="E255" s="3">
        <v>0</v>
      </c>
      <c r="F255" s="3">
        <v>0</v>
      </c>
      <c r="G255" s="18">
        <f t="shared" si="13"/>
        <v>0</v>
      </c>
    </row>
    <row r="256" spans="1:7" x14ac:dyDescent="0.35">
      <c r="B256" s="33" t="s">
        <v>2545</v>
      </c>
      <c r="C256" s="5"/>
      <c r="D256" s="5"/>
      <c r="E256" s="10">
        <f>SUM(E253:E255)</f>
        <v>0</v>
      </c>
      <c r="F256" s="10">
        <f t="shared" ref="F256:G256" si="16">SUM(F253:F255)</f>
        <v>-285</v>
      </c>
      <c r="G256" s="22">
        <f t="shared" si="16"/>
        <v>-488.57142857142856</v>
      </c>
    </row>
    <row r="257" spans="1:7" s="8" customFormat="1" x14ac:dyDescent="0.35">
      <c r="B257" s="23"/>
      <c r="E257" s="9"/>
      <c r="F257" s="9"/>
      <c r="G257" s="21"/>
    </row>
    <row r="258" spans="1:7" x14ac:dyDescent="0.35">
      <c r="B258" s="32" t="s">
        <v>2544</v>
      </c>
      <c r="C258" s="5" t="s">
        <v>374</v>
      </c>
      <c r="D258" s="5" t="s">
        <v>34</v>
      </c>
      <c r="E258" s="3">
        <v>0</v>
      </c>
      <c r="F258" s="3">
        <v>0</v>
      </c>
      <c r="G258" s="18">
        <f t="shared" si="13"/>
        <v>0</v>
      </c>
    </row>
    <row r="259" spans="1:7" x14ac:dyDescent="0.35">
      <c r="B259" s="32" t="s">
        <v>2544</v>
      </c>
      <c r="C259" s="5" t="s">
        <v>375</v>
      </c>
      <c r="D259" s="5" t="s">
        <v>38</v>
      </c>
      <c r="E259" s="3">
        <v>0</v>
      </c>
      <c r="F259" s="3">
        <v>0</v>
      </c>
      <c r="G259" s="18">
        <f t="shared" si="13"/>
        <v>0</v>
      </c>
    </row>
    <row r="260" spans="1:7" x14ac:dyDescent="0.35">
      <c r="B260" s="32" t="s">
        <v>2544</v>
      </c>
      <c r="C260" s="5" t="s">
        <v>376</v>
      </c>
      <c r="D260" s="5" t="s">
        <v>52</v>
      </c>
      <c r="E260" s="3">
        <v>0</v>
      </c>
      <c r="F260" s="3">
        <v>0</v>
      </c>
      <c r="G260" s="18">
        <f t="shared" si="13"/>
        <v>0</v>
      </c>
    </row>
    <row r="261" spans="1:7" x14ac:dyDescent="0.35">
      <c r="B261" s="32" t="s">
        <v>2544</v>
      </c>
      <c r="C261" s="5" t="s">
        <v>377</v>
      </c>
      <c r="D261" s="5" t="s">
        <v>64</v>
      </c>
      <c r="E261" s="3">
        <v>0</v>
      </c>
      <c r="F261" s="3">
        <v>0</v>
      </c>
      <c r="G261" s="18">
        <f t="shared" si="13"/>
        <v>0</v>
      </c>
    </row>
    <row r="262" spans="1:7" x14ac:dyDescent="0.35">
      <c r="B262" s="32" t="s">
        <v>2544</v>
      </c>
      <c r="C262" s="5" t="s">
        <v>378</v>
      </c>
      <c r="D262" s="5" t="s">
        <v>66</v>
      </c>
      <c r="E262" s="3">
        <v>0</v>
      </c>
      <c r="F262" s="3">
        <v>0</v>
      </c>
      <c r="G262" s="18">
        <f t="shared" si="13"/>
        <v>0</v>
      </c>
    </row>
    <row r="263" spans="1:7" x14ac:dyDescent="0.35">
      <c r="B263" s="32" t="s">
        <v>2544</v>
      </c>
      <c r="C263" s="5" t="s">
        <v>379</v>
      </c>
      <c r="D263" s="5" t="s">
        <v>68</v>
      </c>
      <c r="E263" s="3">
        <v>0</v>
      </c>
      <c r="F263" s="3">
        <v>0</v>
      </c>
      <c r="G263" s="18">
        <f t="shared" si="13"/>
        <v>0</v>
      </c>
    </row>
    <row r="264" spans="1:7" x14ac:dyDescent="0.35">
      <c r="B264" s="32" t="s">
        <v>2544</v>
      </c>
      <c r="C264" s="5" t="s">
        <v>380</v>
      </c>
      <c r="D264" s="5" t="s">
        <v>84</v>
      </c>
      <c r="E264" s="3">
        <v>0</v>
      </c>
      <c r="F264" s="3">
        <v>0</v>
      </c>
      <c r="G264" s="18">
        <f t="shared" si="13"/>
        <v>0</v>
      </c>
    </row>
    <row r="265" spans="1:7" x14ac:dyDescent="0.35">
      <c r="B265" s="32" t="s">
        <v>2544</v>
      </c>
      <c r="C265" s="5" t="s">
        <v>381</v>
      </c>
      <c r="D265" s="5" t="s">
        <v>120</v>
      </c>
      <c r="E265" s="3">
        <v>0</v>
      </c>
      <c r="F265" s="3">
        <v>0</v>
      </c>
      <c r="G265" s="18">
        <f t="shared" si="13"/>
        <v>0</v>
      </c>
    </row>
    <row r="266" spans="1:7" x14ac:dyDescent="0.35">
      <c r="B266" s="32" t="s">
        <v>2544</v>
      </c>
      <c r="C266" s="5" t="s">
        <v>382</v>
      </c>
      <c r="D266" s="5" t="s">
        <v>124</v>
      </c>
      <c r="E266" s="3">
        <v>0</v>
      </c>
      <c r="F266" s="3">
        <v>0</v>
      </c>
      <c r="G266" s="18">
        <f t="shared" si="13"/>
        <v>0</v>
      </c>
    </row>
    <row r="267" spans="1:7" s="8" customFormat="1" x14ac:dyDescent="0.35">
      <c r="B267" s="33" t="s">
        <v>2546</v>
      </c>
      <c r="C267" s="5"/>
      <c r="D267" s="5"/>
      <c r="E267" s="10">
        <f>SUM(E258:E266)</f>
        <v>0</v>
      </c>
      <c r="F267" s="10">
        <f t="shared" ref="F267:G267" si="17">SUM(F258:F266)</f>
        <v>0</v>
      </c>
      <c r="G267" s="22">
        <f t="shared" si="17"/>
        <v>0</v>
      </c>
    </row>
    <row r="268" spans="1:7" s="8" customFormat="1" ht="9" customHeight="1" x14ac:dyDescent="0.35">
      <c r="B268" s="23"/>
      <c r="E268" s="39"/>
      <c r="F268" s="39"/>
      <c r="G268" s="40"/>
    </row>
    <row r="269" spans="1:7" s="8" customFormat="1" ht="15" thickBot="1" x14ac:dyDescent="0.4">
      <c r="B269" s="35" t="s">
        <v>2548</v>
      </c>
      <c r="C269" s="25"/>
      <c r="D269" s="25"/>
      <c r="E269" s="26">
        <f>+E256+E267</f>
        <v>0</v>
      </c>
      <c r="F269" s="26">
        <f>+F256+F267</f>
        <v>-285</v>
      </c>
      <c r="G269" s="27">
        <f>+G256+G267</f>
        <v>-488.57142857142856</v>
      </c>
    </row>
    <row r="270" spans="1:7" s="8" customFormat="1" x14ac:dyDescent="0.35">
      <c r="E270" s="9"/>
      <c r="F270" s="9"/>
      <c r="G270" s="9"/>
    </row>
    <row r="271" spans="1:7" s="8" customFormat="1" x14ac:dyDescent="0.35">
      <c r="E271" s="9"/>
      <c r="F271" s="9"/>
      <c r="G271" s="9"/>
    </row>
    <row r="272" spans="1:7" s="8" customFormat="1" ht="15" thickBot="1" x14ac:dyDescent="0.4">
      <c r="A272" s="12" t="s">
        <v>2589</v>
      </c>
      <c r="B272" s="28" t="s">
        <v>2553</v>
      </c>
      <c r="E272" s="9"/>
      <c r="F272" s="9"/>
      <c r="G272" s="9"/>
    </row>
    <row r="273" spans="2:7" x14ac:dyDescent="0.35">
      <c r="B273" s="31" t="s">
        <v>2543</v>
      </c>
      <c r="C273" s="14" t="s">
        <v>383</v>
      </c>
      <c r="D273" s="14" t="s">
        <v>384</v>
      </c>
      <c r="E273" s="15">
        <v>-3800</v>
      </c>
      <c r="F273" s="15">
        <f>124-2604.95</f>
        <v>-2480.9499999999998</v>
      </c>
      <c r="G273" s="16">
        <f t="shared" si="13"/>
        <v>-4253.057142857142</v>
      </c>
    </row>
    <row r="274" spans="2:7" x14ac:dyDescent="0.35">
      <c r="B274" s="32" t="s">
        <v>2543</v>
      </c>
      <c r="C274" s="5" t="s">
        <v>385</v>
      </c>
      <c r="D274" s="5" t="s">
        <v>126</v>
      </c>
      <c r="E274" s="3">
        <v>0</v>
      </c>
      <c r="F274" s="3">
        <v>0</v>
      </c>
      <c r="G274" s="18">
        <f t="shared" si="13"/>
        <v>0</v>
      </c>
    </row>
    <row r="275" spans="2:7" x14ac:dyDescent="0.35">
      <c r="B275" s="32" t="s">
        <v>2543</v>
      </c>
      <c r="C275" s="5" t="s">
        <v>386</v>
      </c>
      <c r="D275" s="5" t="s">
        <v>387</v>
      </c>
      <c r="E275" s="3">
        <v>-2300</v>
      </c>
      <c r="F275" s="3">
        <v>-673</v>
      </c>
      <c r="G275" s="18">
        <f t="shared" si="13"/>
        <v>-1153.7142857142858</v>
      </c>
    </row>
    <row r="276" spans="2:7" x14ac:dyDescent="0.35">
      <c r="B276" s="32" t="s">
        <v>2543</v>
      </c>
      <c r="C276" s="5" t="s">
        <v>388</v>
      </c>
      <c r="D276" s="5" t="s">
        <v>389</v>
      </c>
      <c r="E276" s="3">
        <v>-714149</v>
      </c>
      <c r="F276" s="3">
        <v>0</v>
      </c>
      <c r="G276" s="18">
        <f t="shared" si="13"/>
        <v>0</v>
      </c>
    </row>
    <row r="277" spans="2:7" x14ac:dyDescent="0.35">
      <c r="B277" s="32" t="s">
        <v>2543</v>
      </c>
      <c r="C277" s="5" t="s">
        <v>390</v>
      </c>
      <c r="D277" s="5" t="s">
        <v>391</v>
      </c>
      <c r="E277" s="3">
        <v>-757</v>
      </c>
      <c r="F277" s="3">
        <v>-204.75</v>
      </c>
      <c r="G277" s="18">
        <f t="shared" si="13"/>
        <v>-351</v>
      </c>
    </row>
    <row r="278" spans="2:7" x14ac:dyDescent="0.35">
      <c r="B278" s="32" t="s">
        <v>2543</v>
      </c>
      <c r="C278" s="5" t="s">
        <v>392</v>
      </c>
      <c r="D278" s="5" t="s">
        <v>30</v>
      </c>
      <c r="E278" s="3">
        <v>0</v>
      </c>
      <c r="F278" s="3">
        <v>0</v>
      </c>
      <c r="G278" s="18">
        <f t="shared" si="13"/>
        <v>0</v>
      </c>
    </row>
    <row r="279" spans="2:7" x14ac:dyDescent="0.35">
      <c r="B279" s="32" t="s">
        <v>2543</v>
      </c>
      <c r="C279" s="5" t="s">
        <v>393</v>
      </c>
      <c r="D279" s="5" t="s">
        <v>32</v>
      </c>
      <c r="E279" s="3">
        <v>0</v>
      </c>
      <c r="F279" s="3">
        <v>0</v>
      </c>
      <c r="G279" s="18">
        <f t="shared" si="13"/>
        <v>0</v>
      </c>
    </row>
    <row r="280" spans="2:7" s="8" customFormat="1" x14ac:dyDescent="0.35">
      <c r="B280" s="33" t="s">
        <v>2545</v>
      </c>
      <c r="C280" s="5"/>
      <c r="D280" s="5"/>
      <c r="E280" s="10">
        <f>SUM(E273:E279)</f>
        <v>-721006</v>
      </c>
      <c r="F280" s="10">
        <f t="shared" ref="F280:G280" si="18">SUM(F273:F279)</f>
        <v>-3358.7</v>
      </c>
      <c r="G280" s="22">
        <f t="shared" si="18"/>
        <v>-5757.7714285714283</v>
      </c>
    </row>
    <row r="281" spans="2:7" s="8" customFormat="1" x14ac:dyDescent="0.35">
      <c r="B281" s="23"/>
      <c r="E281" s="9"/>
      <c r="F281" s="9"/>
      <c r="G281" s="21"/>
    </row>
    <row r="282" spans="2:7" x14ac:dyDescent="0.35">
      <c r="B282" s="32" t="s">
        <v>2544</v>
      </c>
      <c r="C282" s="5" t="s">
        <v>394</v>
      </c>
      <c r="D282" s="5" t="s">
        <v>34</v>
      </c>
      <c r="E282" s="3">
        <v>518125</v>
      </c>
      <c r="F282" s="3">
        <v>0</v>
      </c>
      <c r="G282" s="18">
        <f t="shared" si="13"/>
        <v>0</v>
      </c>
    </row>
    <row r="283" spans="2:7" x14ac:dyDescent="0.35">
      <c r="B283" s="32" t="s">
        <v>2544</v>
      </c>
      <c r="C283" s="5" t="s">
        <v>395</v>
      </c>
      <c r="D283" s="5" t="s">
        <v>36</v>
      </c>
      <c r="E283" s="3">
        <v>43177</v>
      </c>
      <c r="F283" s="3">
        <v>0</v>
      </c>
      <c r="G283" s="18">
        <f t="shared" si="13"/>
        <v>0</v>
      </c>
    </row>
    <row r="284" spans="2:7" x14ac:dyDescent="0.35">
      <c r="B284" s="32" t="s">
        <v>2544</v>
      </c>
      <c r="C284" s="5" t="s">
        <v>396</v>
      </c>
      <c r="D284" s="5" t="s">
        <v>38</v>
      </c>
      <c r="E284" s="3">
        <v>0</v>
      </c>
      <c r="F284" s="3">
        <v>0</v>
      </c>
      <c r="G284" s="18">
        <f t="shared" si="13"/>
        <v>0</v>
      </c>
    </row>
    <row r="285" spans="2:7" x14ac:dyDescent="0.35">
      <c r="B285" s="32" t="s">
        <v>2544</v>
      </c>
      <c r="C285" s="5" t="s">
        <v>397</v>
      </c>
      <c r="D285" s="5" t="s">
        <v>42</v>
      </c>
      <c r="E285" s="3">
        <v>70226</v>
      </c>
      <c r="F285" s="3">
        <v>33963.69</v>
      </c>
      <c r="G285" s="18">
        <f t="shared" si="13"/>
        <v>58223.468571428573</v>
      </c>
    </row>
    <row r="286" spans="2:7" x14ac:dyDescent="0.35">
      <c r="B286" s="32" t="s">
        <v>2544</v>
      </c>
      <c r="C286" s="5" t="s">
        <v>398</v>
      </c>
      <c r="D286" s="5" t="s">
        <v>44</v>
      </c>
      <c r="E286" s="3">
        <v>5181</v>
      </c>
      <c r="F286" s="3">
        <v>0</v>
      </c>
      <c r="G286" s="18">
        <f t="shared" si="13"/>
        <v>0</v>
      </c>
    </row>
    <row r="287" spans="2:7" x14ac:dyDescent="0.35">
      <c r="B287" s="32" t="s">
        <v>2544</v>
      </c>
      <c r="C287" s="5" t="s">
        <v>399</v>
      </c>
      <c r="D287" s="5" t="s">
        <v>46</v>
      </c>
      <c r="E287" s="3">
        <v>5181</v>
      </c>
      <c r="F287" s="3">
        <v>0</v>
      </c>
      <c r="G287" s="18">
        <f t="shared" si="13"/>
        <v>0</v>
      </c>
    </row>
    <row r="288" spans="2:7" x14ac:dyDescent="0.35">
      <c r="B288" s="32" t="s">
        <v>2544</v>
      </c>
      <c r="C288" s="5" t="s">
        <v>400</v>
      </c>
      <c r="D288" s="5" t="s">
        <v>48</v>
      </c>
      <c r="E288" s="3">
        <v>61092</v>
      </c>
      <c r="F288" s="3">
        <v>0</v>
      </c>
      <c r="G288" s="18">
        <f t="shared" si="13"/>
        <v>0</v>
      </c>
    </row>
    <row r="289" spans="2:7" x14ac:dyDescent="0.35">
      <c r="B289" s="32" t="s">
        <v>2544</v>
      </c>
      <c r="C289" s="5" t="s">
        <v>401</v>
      </c>
      <c r="D289" s="5" t="s">
        <v>50</v>
      </c>
      <c r="E289" s="3">
        <v>5181</v>
      </c>
      <c r="F289" s="3">
        <v>0</v>
      </c>
      <c r="G289" s="18">
        <f t="shared" si="13"/>
        <v>0</v>
      </c>
    </row>
    <row r="290" spans="2:7" x14ac:dyDescent="0.35">
      <c r="B290" s="32" t="s">
        <v>2544</v>
      </c>
      <c r="C290" s="5" t="s">
        <v>402</v>
      </c>
      <c r="D290" s="5" t="s">
        <v>331</v>
      </c>
      <c r="E290" s="3">
        <v>2122</v>
      </c>
      <c r="F290" s="3">
        <v>0</v>
      </c>
      <c r="G290" s="18">
        <f t="shared" si="13"/>
        <v>0</v>
      </c>
    </row>
    <row r="291" spans="2:7" x14ac:dyDescent="0.35">
      <c r="B291" s="32" t="s">
        <v>2544</v>
      </c>
      <c r="C291" s="5" t="s">
        <v>403</v>
      </c>
      <c r="D291" s="5" t="s">
        <v>52</v>
      </c>
      <c r="E291" s="3">
        <v>0</v>
      </c>
      <c r="F291" s="3">
        <v>0</v>
      </c>
      <c r="G291" s="18">
        <f t="shared" si="13"/>
        <v>0</v>
      </c>
    </row>
    <row r="292" spans="2:7" x14ac:dyDescent="0.35">
      <c r="B292" s="32" t="s">
        <v>2544</v>
      </c>
      <c r="C292" s="5" t="s">
        <v>404</v>
      </c>
      <c r="D292" s="5" t="s">
        <v>64</v>
      </c>
      <c r="E292" s="3">
        <v>0</v>
      </c>
      <c r="F292" s="3">
        <v>0</v>
      </c>
      <c r="G292" s="18">
        <f t="shared" si="13"/>
        <v>0</v>
      </c>
    </row>
    <row r="293" spans="2:7" x14ac:dyDescent="0.35">
      <c r="B293" s="32" t="s">
        <v>2544</v>
      </c>
      <c r="C293" s="5" t="s">
        <v>405</v>
      </c>
      <c r="D293" s="5" t="s">
        <v>66</v>
      </c>
      <c r="E293" s="3">
        <v>0</v>
      </c>
      <c r="F293" s="3">
        <v>0</v>
      </c>
      <c r="G293" s="18">
        <f t="shared" si="13"/>
        <v>0</v>
      </c>
    </row>
    <row r="294" spans="2:7" x14ac:dyDescent="0.35">
      <c r="B294" s="32" t="s">
        <v>2544</v>
      </c>
      <c r="C294" s="5" t="s">
        <v>406</v>
      </c>
      <c r="D294" s="5" t="s">
        <v>68</v>
      </c>
      <c r="E294" s="3">
        <v>0</v>
      </c>
      <c r="F294" s="3">
        <v>0</v>
      </c>
      <c r="G294" s="18">
        <f t="shared" si="13"/>
        <v>0</v>
      </c>
    </row>
    <row r="295" spans="2:7" x14ac:dyDescent="0.35">
      <c r="B295" s="32" t="s">
        <v>2544</v>
      </c>
      <c r="C295" s="5" t="s">
        <v>407</v>
      </c>
      <c r="D295" s="5" t="s">
        <v>74</v>
      </c>
      <c r="E295" s="3">
        <v>0</v>
      </c>
      <c r="F295" s="3">
        <f>1183.59-145.35</f>
        <v>1038.24</v>
      </c>
      <c r="G295" s="18">
        <f t="shared" si="13"/>
        <v>1779.84</v>
      </c>
    </row>
    <row r="296" spans="2:7" x14ac:dyDescent="0.35">
      <c r="B296" s="32" t="s">
        <v>2544</v>
      </c>
      <c r="C296" s="5" t="s">
        <v>408</v>
      </c>
      <c r="D296" s="5" t="s">
        <v>90</v>
      </c>
      <c r="E296" s="3">
        <v>6000</v>
      </c>
      <c r="F296" s="3">
        <v>6000</v>
      </c>
      <c r="G296" s="18">
        <f t="shared" si="13"/>
        <v>10285.714285714286</v>
      </c>
    </row>
    <row r="297" spans="2:7" x14ac:dyDescent="0.35">
      <c r="B297" s="32" t="s">
        <v>2544</v>
      </c>
      <c r="C297" s="5" t="s">
        <v>409</v>
      </c>
      <c r="D297" s="5" t="s">
        <v>94</v>
      </c>
      <c r="E297" s="3">
        <v>0</v>
      </c>
      <c r="F297" s="3">
        <v>0</v>
      </c>
      <c r="G297" s="18">
        <f t="shared" si="13"/>
        <v>0</v>
      </c>
    </row>
    <row r="298" spans="2:7" x14ac:dyDescent="0.35">
      <c r="B298" s="32" t="s">
        <v>2544</v>
      </c>
      <c r="C298" s="5" t="s">
        <v>410</v>
      </c>
      <c r="D298" s="5" t="s">
        <v>411</v>
      </c>
      <c r="E298" s="3">
        <v>0</v>
      </c>
      <c r="F298" s="3">
        <v>0</v>
      </c>
      <c r="G298" s="18">
        <f t="shared" si="13"/>
        <v>0</v>
      </c>
    </row>
    <row r="299" spans="2:7" x14ac:dyDescent="0.35">
      <c r="B299" s="32" t="s">
        <v>2544</v>
      </c>
      <c r="C299" s="5" t="s">
        <v>412</v>
      </c>
      <c r="D299" s="5" t="s">
        <v>98</v>
      </c>
      <c r="E299" s="3">
        <v>1770</v>
      </c>
      <c r="F299" s="3">
        <v>0</v>
      </c>
      <c r="G299" s="18">
        <f t="shared" si="13"/>
        <v>0</v>
      </c>
    </row>
    <row r="300" spans="2:7" x14ac:dyDescent="0.35">
      <c r="B300" s="32" t="s">
        <v>2544</v>
      </c>
      <c r="C300" s="5" t="s">
        <v>413</v>
      </c>
      <c r="D300" s="5" t="s">
        <v>414</v>
      </c>
      <c r="E300" s="3">
        <v>0</v>
      </c>
      <c r="F300" s="3">
        <v>0</v>
      </c>
      <c r="G300" s="18">
        <f t="shared" si="13"/>
        <v>0</v>
      </c>
    </row>
    <row r="301" spans="2:7" x14ac:dyDescent="0.35">
      <c r="B301" s="32" t="s">
        <v>2544</v>
      </c>
      <c r="C301" s="5" t="s">
        <v>415</v>
      </c>
      <c r="D301" s="5" t="s">
        <v>248</v>
      </c>
      <c r="E301" s="3">
        <v>0</v>
      </c>
      <c r="F301" s="3">
        <v>0</v>
      </c>
      <c r="G301" s="18">
        <f t="shared" si="13"/>
        <v>0</v>
      </c>
    </row>
    <row r="302" spans="2:7" x14ac:dyDescent="0.35">
      <c r="B302" s="32" t="s">
        <v>2544</v>
      </c>
      <c r="C302" s="5" t="s">
        <v>416</v>
      </c>
      <c r="D302" s="5" t="s">
        <v>417</v>
      </c>
      <c r="E302" s="3">
        <v>1200</v>
      </c>
      <c r="F302" s="3">
        <v>0</v>
      </c>
      <c r="G302" s="18">
        <f t="shared" ref="G302:G397" si="19">+F302/7*12</f>
        <v>0</v>
      </c>
    </row>
    <row r="303" spans="2:7" x14ac:dyDescent="0.35">
      <c r="B303" s="32" t="s">
        <v>2544</v>
      </c>
      <c r="C303" s="5" t="s">
        <v>418</v>
      </c>
      <c r="D303" s="5" t="s">
        <v>120</v>
      </c>
      <c r="E303" s="3">
        <v>0</v>
      </c>
      <c r="F303" s="3">
        <v>0</v>
      </c>
      <c r="G303" s="18">
        <f t="shared" si="19"/>
        <v>0</v>
      </c>
    </row>
    <row r="304" spans="2:7" x14ac:dyDescent="0.35">
      <c r="B304" s="32" t="s">
        <v>2544</v>
      </c>
      <c r="C304" s="5" t="s">
        <v>419</v>
      </c>
      <c r="D304" s="5" t="s">
        <v>420</v>
      </c>
      <c r="E304" s="3">
        <v>0</v>
      </c>
      <c r="F304" s="3">
        <v>0</v>
      </c>
      <c r="G304" s="18">
        <f t="shared" si="19"/>
        <v>0</v>
      </c>
    </row>
    <row r="305" spans="1:7" x14ac:dyDescent="0.35">
      <c r="B305" s="32" t="s">
        <v>2544</v>
      </c>
      <c r="C305" s="5" t="s">
        <v>421</v>
      </c>
      <c r="D305" s="5" t="s">
        <v>368</v>
      </c>
      <c r="E305" s="3">
        <v>1750</v>
      </c>
      <c r="F305" s="3">
        <v>11153.61</v>
      </c>
      <c r="G305" s="18">
        <f t="shared" si="19"/>
        <v>19120.474285714285</v>
      </c>
    </row>
    <row r="306" spans="1:7" x14ac:dyDescent="0.35">
      <c r="B306" s="32" t="s">
        <v>2544</v>
      </c>
      <c r="C306" s="5" t="s">
        <v>422</v>
      </c>
      <c r="D306" s="5" t="s">
        <v>124</v>
      </c>
      <c r="E306" s="3">
        <v>0</v>
      </c>
      <c r="F306" s="3">
        <v>0</v>
      </c>
      <c r="G306" s="18">
        <f t="shared" si="19"/>
        <v>0</v>
      </c>
    </row>
    <row r="307" spans="1:7" s="8" customFormat="1" x14ac:dyDescent="0.35">
      <c r="B307" s="33" t="s">
        <v>2546</v>
      </c>
      <c r="C307" s="5"/>
      <c r="D307" s="5"/>
      <c r="E307" s="10">
        <f>SUM(E282:E306)</f>
        <v>721005</v>
      </c>
      <c r="F307" s="10">
        <f t="shared" ref="F307:G307" si="20">SUM(F282:F306)</f>
        <v>52155.54</v>
      </c>
      <c r="G307" s="22">
        <f t="shared" si="20"/>
        <v>89409.497142857144</v>
      </c>
    </row>
    <row r="308" spans="1:7" s="8" customFormat="1" ht="9.75" customHeight="1" x14ac:dyDescent="0.35">
      <c r="B308" s="23"/>
      <c r="E308" s="39"/>
      <c r="F308" s="39"/>
      <c r="G308" s="40"/>
    </row>
    <row r="309" spans="1:7" s="8" customFormat="1" ht="15" thickBot="1" x14ac:dyDescent="0.4">
      <c r="B309" s="35" t="s">
        <v>2548</v>
      </c>
      <c r="C309" s="25"/>
      <c r="D309" s="25"/>
      <c r="E309" s="26">
        <f>+E280+E307</f>
        <v>-1</v>
      </c>
      <c r="F309" s="26">
        <f t="shared" ref="F309:G309" si="21">+F280+F307</f>
        <v>48796.840000000004</v>
      </c>
      <c r="G309" s="27">
        <f t="shared" si="21"/>
        <v>83651.725714285712</v>
      </c>
    </row>
    <row r="310" spans="1:7" s="8" customFormat="1" x14ac:dyDescent="0.35">
      <c r="E310" s="9"/>
      <c r="F310" s="9"/>
      <c r="G310" s="9"/>
    </row>
    <row r="311" spans="1:7" s="8" customFormat="1" x14ac:dyDescent="0.35">
      <c r="E311" s="9"/>
      <c r="F311" s="9"/>
      <c r="G311" s="9"/>
    </row>
    <row r="312" spans="1:7" s="8" customFormat="1" ht="15" thickBot="1" x14ac:dyDescent="0.4">
      <c r="A312" s="12" t="s">
        <v>2589</v>
      </c>
      <c r="B312" s="28" t="s">
        <v>2554</v>
      </c>
      <c r="C312" s="12" t="s">
        <v>2594</v>
      </c>
      <c r="E312" s="9"/>
      <c r="F312" s="9"/>
      <c r="G312" s="9"/>
    </row>
    <row r="313" spans="1:7" x14ac:dyDescent="0.35">
      <c r="B313" s="31" t="s">
        <v>2543</v>
      </c>
      <c r="C313" s="14" t="s">
        <v>423</v>
      </c>
      <c r="D313" s="14" t="s">
        <v>424</v>
      </c>
      <c r="E313" s="15">
        <v>-275000</v>
      </c>
      <c r="F313" s="15">
        <f>2458.33-218628.08</f>
        <v>-216169.75</v>
      </c>
      <c r="G313" s="16">
        <f t="shared" si="19"/>
        <v>-370576.71428571432</v>
      </c>
    </row>
    <row r="314" spans="1:7" x14ac:dyDescent="0.35">
      <c r="B314" s="32" t="s">
        <v>2543</v>
      </c>
      <c r="C314" s="5" t="s">
        <v>425</v>
      </c>
      <c r="D314" s="5" t="s">
        <v>126</v>
      </c>
      <c r="E314" s="3">
        <v>0</v>
      </c>
      <c r="F314" s="3">
        <v>0</v>
      </c>
      <c r="G314" s="18">
        <f t="shared" si="19"/>
        <v>0</v>
      </c>
    </row>
    <row r="315" spans="1:7" x14ac:dyDescent="0.35">
      <c r="B315" s="32" t="s">
        <v>2543</v>
      </c>
      <c r="C315" s="5" t="s">
        <v>426</v>
      </c>
      <c r="D315" s="5" t="s">
        <v>30</v>
      </c>
      <c r="E315" s="3">
        <v>0</v>
      </c>
      <c r="F315" s="3">
        <v>0</v>
      </c>
      <c r="G315" s="18">
        <f t="shared" si="19"/>
        <v>0</v>
      </c>
    </row>
    <row r="316" spans="1:7" x14ac:dyDescent="0.35">
      <c r="B316" s="32" t="s">
        <v>2543</v>
      </c>
      <c r="C316" s="5" t="s">
        <v>427</v>
      </c>
      <c r="D316" s="5" t="s">
        <v>32</v>
      </c>
      <c r="E316" s="3">
        <v>0</v>
      </c>
      <c r="F316" s="3">
        <v>0</v>
      </c>
      <c r="G316" s="18">
        <f t="shared" si="19"/>
        <v>0</v>
      </c>
    </row>
    <row r="317" spans="1:7" s="8" customFormat="1" x14ac:dyDescent="0.35">
      <c r="B317" s="33" t="s">
        <v>2545</v>
      </c>
      <c r="C317" s="5"/>
      <c r="D317" s="5"/>
      <c r="E317" s="10">
        <f>SUM(E313:E316)</f>
        <v>-275000</v>
      </c>
      <c r="F317" s="10">
        <f t="shared" ref="F317:G317" si="22">SUM(F313:F316)</f>
        <v>-216169.75</v>
      </c>
      <c r="G317" s="22">
        <f t="shared" si="22"/>
        <v>-370576.71428571432</v>
      </c>
    </row>
    <row r="318" spans="1:7" s="8" customFormat="1" x14ac:dyDescent="0.35">
      <c r="B318" s="23"/>
      <c r="E318" s="9"/>
      <c r="F318" s="9"/>
      <c r="G318" s="21"/>
    </row>
    <row r="319" spans="1:7" x14ac:dyDescent="0.35">
      <c r="B319" s="32" t="s">
        <v>2544</v>
      </c>
      <c r="C319" s="5" t="s">
        <v>428</v>
      </c>
      <c r="D319" s="5" t="s">
        <v>34</v>
      </c>
      <c r="E319" s="3">
        <v>0</v>
      </c>
      <c r="F319" s="3">
        <f>42251.72-294.25</f>
        <v>41957.47</v>
      </c>
      <c r="G319" s="18">
        <f t="shared" si="19"/>
        <v>71927.091428571439</v>
      </c>
    </row>
    <row r="320" spans="1:7" x14ac:dyDescent="0.35">
      <c r="B320" s="32" t="s">
        <v>2544</v>
      </c>
      <c r="C320" s="5" t="s">
        <v>429</v>
      </c>
      <c r="D320" s="5" t="s">
        <v>36</v>
      </c>
      <c r="E320" s="3">
        <v>0</v>
      </c>
      <c r="F320" s="3">
        <v>6035.96</v>
      </c>
      <c r="G320" s="18">
        <f t="shared" si="19"/>
        <v>10347.36</v>
      </c>
    </row>
    <row r="321" spans="2:7" x14ac:dyDescent="0.35">
      <c r="B321" s="32" t="s">
        <v>2544</v>
      </c>
      <c r="C321" s="5" t="s">
        <v>430</v>
      </c>
      <c r="D321" s="5" t="s">
        <v>38</v>
      </c>
      <c r="E321" s="3">
        <v>0</v>
      </c>
      <c r="F321" s="3">
        <v>1258.48</v>
      </c>
      <c r="G321" s="18">
        <f t="shared" si="19"/>
        <v>2157.3942857142856</v>
      </c>
    </row>
    <row r="322" spans="2:7" x14ac:dyDescent="0.35">
      <c r="B322" s="32" t="s">
        <v>2544</v>
      </c>
      <c r="C322" s="5" t="s">
        <v>431</v>
      </c>
      <c r="D322" s="5" t="s">
        <v>42</v>
      </c>
      <c r="E322" s="3">
        <v>0</v>
      </c>
      <c r="F322" s="3">
        <v>8779.89</v>
      </c>
      <c r="G322" s="18">
        <f t="shared" si="19"/>
        <v>15051.24</v>
      </c>
    </row>
    <row r="323" spans="2:7" x14ac:dyDescent="0.35">
      <c r="B323" s="32" t="s">
        <v>2544</v>
      </c>
      <c r="C323" s="5" t="s">
        <v>432</v>
      </c>
      <c r="D323" s="5" t="s">
        <v>44</v>
      </c>
      <c r="E323" s="3">
        <v>0</v>
      </c>
      <c r="F323" s="3">
        <v>468.5</v>
      </c>
      <c r="G323" s="18">
        <f t="shared" si="19"/>
        <v>803.14285714285711</v>
      </c>
    </row>
    <row r="324" spans="2:7" x14ac:dyDescent="0.35">
      <c r="B324" s="32" t="s">
        <v>2544</v>
      </c>
      <c r="C324" s="5" t="s">
        <v>433</v>
      </c>
      <c r="D324" s="5" t="s">
        <v>46</v>
      </c>
      <c r="E324" s="3">
        <v>0</v>
      </c>
      <c r="F324" s="3">
        <v>47.46</v>
      </c>
      <c r="G324" s="18">
        <f t="shared" si="19"/>
        <v>81.36</v>
      </c>
    </row>
    <row r="325" spans="2:7" x14ac:dyDescent="0.35">
      <c r="B325" s="32" t="s">
        <v>2544</v>
      </c>
      <c r="C325" s="5" t="s">
        <v>434</v>
      </c>
      <c r="D325" s="5" t="s">
        <v>50</v>
      </c>
      <c r="E325" s="3">
        <v>0</v>
      </c>
      <c r="F325" s="3">
        <v>437.02</v>
      </c>
      <c r="G325" s="18">
        <f t="shared" si="19"/>
        <v>749.17714285714283</v>
      </c>
    </row>
    <row r="326" spans="2:7" x14ac:dyDescent="0.35">
      <c r="B326" s="32" t="s">
        <v>2544</v>
      </c>
      <c r="C326" s="5" t="s">
        <v>435</v>
      </c>
      <c r="D326" s="5" t="s">
        <v>52</v>
      </c>
      <c r="E326" s="3">
        <v>0</v>
      </c>
      <c r="F326" s="3">
        <v>0</v>
      </c>
      <c r="G326" s="18">
        <f t="shared" si="19"/>
        <v>0</v>
      </c>
    </row>
    <row r="327" spans="2:7" x14ac:dyDescent="0.35">
      <c r="B327" s="32" t="s">
        <v>2544</v>
      </c>
      <c r="C327" s="5" t="s">
        <v>436</v>
      </c>
      <c r="D327" s="5" t="s">
        <v>64</v>
      </c>
      <c r="E327" s="3">
        <v>0</v>
      </c>
      <c r="F327" s="3">
        <v>0</v>
      </c>
      <c r="G327" s="18">
        <f t="shared" si="19"/>
        <v>0</v>
      </c>
    </row>
    <row r="328" spans="2:7" x14ac:dyDescent="0.35">
      <c r="B328" s="32" t="s">
        <v>2544</v>
      </c>
      <c r="C328" s="5" t="s">
        <v>437</v>
      </c>
      <c r="D328" s="5" t="s">
        <v>66</v>
      </c>
      <c r="E328" s="3">
        <v>0</v>
      </c>
      <c r="F328" s="3">
        <v>0</v>
      </c>
      <c r="G328" s="18">
        <f t="shared" si="19"/>
        <v>0</v>
      </c>
    </row>
    <row r="329" spans="2:7" x14ac:dyDescent="0.35">
      <c r="B329" s="32" t="s">
        <v>2544</v>
      </c>
      <c r="C329" s="5" t="s">
        <v>438</v>
      </c>
      <c r="D329" s="5" t="s">
        <v>68</v>
      </c>
      <c r="E329" s="3">
        <v>0</v>
      </c>
      <c r="F329" s="3">
        <v>0</v>
      </c>
      <c r="G329" s="18">
        <f t="shared" si="19"/>
        <v>0</v>
      </c>
    </row>
    <row r="330" spans="2:7" x14ac:dyDescent="0.35">
      <c r="B330" s="32" t="s">
        <v>2544</v>
      </c>
      <c r="C330" s="5" t="s">
        <v>439</v>
      </c>
      <c r="D330" s="5" t="s">
        <v>440</v>
      </c>
      <c r="E330" s="3">
        <v>0</v>
      </c>
      <c r="F330" s="3">
        <v>0</v>
      </c>
      <c r="G330" s="18">
        <f t="shared" si="19"/>
        <v>0</v>
      </c>
    </row>
    <row r="331" spans="2:7" x14ac:dyDescent="0.35">
      <c r="B331" s="32" t="s">
        <v>2544</v>
      </c>
      <c r="C331" s="5" t="s">
        <v>441</v>
      </c>
      <c r="D331" s="5" t="s">
        <v>417</v>
      </c>
      <c r="E331" s="3">
        <v>50000</v>
      </c>
      <c r="F331" s="3">
        <v>7220.13</v>
      </c>
      <c r="G331" s="18">
        <f t="shared" si="19"/>
        <v>12377.365714285714</v>
      </c>
    </row>
    <row r="332" spans="2:7" x14ac:dyDescent="0.35">
      <c r="B332" s="32" t="s">
        <v>2544</v>
      </c>
      <c r="C332" s="5" t="s">
        <v>442</v>
      </c>
      <c r="D332" s="5" t="s">
        <v>120</v>
      </c>
      <c r="E332" s="3">
        <v>0</v>
      </c>
      <c r="F332" s="3">
        <v>0</v>
      </c>
      <c r="G332" s="18">
        <f t="shared" si="19"/>
        <v>0</v>
      </c>
    </row>
    <row r="333" spans="2:7" x14ac:dyDescent="0.35">
      <c r="B333" s="32" t="s">
        <v>2544</v>
      </c>
      <c r="C333" s="5" t="s">
        <v>443</v>
      </c>
      <c r="D333" s="5" t="s">
        <v>368</v>
      </c>
      <c r="E333" s="3">
        <v>2000</v>
      </c>
      <c r="F333" s="3">
        <v>0</v>
      </c>
      <c r="G333" s="18">
        <f t="shared" si="19"/>
        <v>0</v>
      </c>
    </row>
    <row r="334" spans="2:7" x14ac:dyDescent="0.35">
      <c r="B334" s="32" t="s">
        <v>2544</v>
      </c>
      <c r="C334" s="5" t="s">
        <v>444</v>
      </c>
      <c r="D334" s="5" t="s">
        <v>124</v>
      </c>
      <c r="E334" s="3">
        <v>0</v>
      </c>
      <c r="F334" s="3">
        <v>0</v>
      </c>
      <c r="G334" s="18">
        <f t="shared" si="19"/>
        <v>0</v>
      </c>
    </row>
    <row r="335" spans="2:7" s="8" customFormat="1" x14ac:dyDescent="0.35">
      <c r="B335" s="33" t="s">
        <v>2546</v>
      </c>
      <c r="C335" s="5"/>
      <c r="D335" s="5"/>
      <c r="E335" s="10">
        <f>SUM(E319:E334)</f>
        <v>52000</v>
      </c>
      <c r="F335" s="10">
        <f t="shared" ref="F335:G335" si="23">SUM(F319:F334)</f>
        <v>66204.91</v>
      </c>
      <c r="G335" s="22">
        <f t="shared" si="23"/>
        <v>113494.13142857143</v>
      </c>
    </row>
    <row r="336" spans="2:7" s="8" customFormat="1" ht="11.25" customHeight="1" x14ac:dyDescent="0.35">
      <c r="B336" s="23"/>
      <c r="E336" s="39"/>
      <c r="F336" s="39"/>
      <c r="G336" s="40"/>
    </row>
    <row r="337" spans="1:7" s="8" customFormat="1" ht="15" thickBot="1" x14ac:dyDescent="0.4">
      <c r="B337" s="35" t="s">
        <v>2548</v>
      </c>
      <c r="C337" s="25"/>
      <c r="D337" s="25"/>
      <c r="E337" s="26">
        <f>+E317+E335</f>
        <v>-223000</v>
      </c>
      <c r="F337" s="26">
        <f t="shared" ref="F337:G337" si="24">+F317+F335</f>
        <v>-149964.84</v>
      </c>
      <c r="G337" s="27">
        <f t="shared" si="24"/>
        <v>-257082.5828571429</v>
      </c>
    </row>
    <row r="338" spans="1:7" s="8" customFormat="1" x14ac:dyDescent="0.35">
      <c r="E338" s="9"/>
      <c r="F338" s="9"/>
      <c r="G338" s="9"/>
    </row>
    <row r="339" spans="1:7" s="8" customFormat="1" x14ac:dyDescent="0.35">
      <c r="E339" s="9"/>
      <c r="F339" s="9"/>
      <c r="G339" s="9"/>
    </row>
    <row r="340" spans="1:7" s="8" customFormat="1" ht="15" thickBot="1" x14ac:dyDescent="0.4">
      <c r="A340" s="12" t="s">
        <v>2589</v>
      </c>
      <c r="B340" s="12" t="s">
        <v>2555</v>
      </c>
      <c r="E340" s="9"/>
      <c r="F340" s="9"/>
      <c r="G340" s="9"/>
    </row>
    <row r="341" spans="1:7" x14ac:dyDescent="0.35">
      <c r="B341" s="41" t="s">
        <v>2543</v>
      </c>
      <c r="C341" s="14" t="s">
        <v>445</v>
      </c>
      <c r="D341" s="14" t="s">
        <v>446</v>
      </c>
      <c r="E341" s="15">
        <v>-160500</v>
      </c>
      <c r="F341" s="15">
        <v>-107680.93</v>
      </c>
      <c r="G341" s="16">
        <f t="shared" si="19"/>
        <v>-184595.88</v>
      </c>
    </row>
    <row r="342" spans="1:7" x14ac:dyDescent="0.35">
      <c r="B342" s="42" t="s">
        <v>2543</v>
      </c>
      <c r="C342" s="5" t="s">
        <v>447</v>
      </c>
      <c r="D342" s="5" t="s">
        <v>448</v>
      </c>
      <c r="E342" s="3">
        <v>-2000</v>
      </c>
      <c r="F342" s="3">
        <v>-374</v>
      </c>
      <c r="G342" s="18">
        <f t="shared" si="19"/>
        <v>-641.14285714285711</v>
      </c>
    </row>
    <row r="343" spans="1:7" x14ac:dyDescent="0.35">
      <c r="B343" s="42" t="s">
        <v>2543</v>
      </c>
      <c r="C343" s="5" t="s">
        <v>449</v>
      </c>
      <c r="D343" s="5" t="s">
        <v>126</v>
      </c>
      <c r="E343" s="3">
        <v>0</v>
      </c>
      <c r="F343" s="3">
        <v>0</v>
      </c>
      <c r="G343" s="18">
        <f t="shared" si="19"/>
        <v>0</v>
      </c>
    </row>
    <row r="344" spans="1:7" x14ac:dyDescent="0.35">
      <c r="B344" s="42" t="s">
        <v>2543</v>
      </c>
      <c r="C344" s="5" t="s">
        <v>450</v>
      </c>
      <c r="D344" s="5" t="s">
        <v>30</v>
      </c>
      <c r="E344" s="3">
        <v>0</v>
      </c>
      <c r="F344" s="3">
        <v>0</v>
      </c>
      <c r="G344" s="18">
        <f t="shared" si="19"/>
        <v>0</v>
      </c>
    </row>
    <row r="345" spans="1:7" x14ac:dyDescent="0.35">
      <c r="B345" s="42" t="s">
        <v>2543</v>
      </c>
      <c r="C345" s="5" t="s">
        <v>451</v>
      </c>
      <c r="D345" s="5" t="s">
        <v>32</v>
      </c>
      <c r="E345" s="3">
        <v>0</v>
      </c>
      <c r="F345" s="3">
        <v>0</v>
      </c>
      <c r="G345" s="18">
        <f t="shared" si="19"/>
        <v>0</v>
      </c>
    </row>
    <row r="346" spans="1:7" s="8" customFormat="1" x14ac:dyDescent="0.35">
      <c r="B346" s="33" t="s">
        <v>2545</v>
      </c>
      <c r="C346" s="5"/>
      <c r="D346" s="5"/>
      <c r="E346" s="10">
        <f>SUM(E341:E345)</f>
        <v>-162500</v>
      </c>
      <c r="F346" s="10">
        <f t="shared" ref="F346:G346" si="25">SUM(F341:F345)</f>
        <v>-108054.93</v>
      </c>
      <c r="G346" s="22">
        <f t="shared" si="25"/>
        <v>-185237.02285714287</v>
      </c>
    </row>
    <row r="347" spans="1:7" s="8" customFormat="1" x14ac:dyDescent="0.35">
      <c r="B347" s="23"/>
      <c r="E347" s="9"/>
      <c r="F347" s="9"/>
      <c r="G347" s="21"/>
    </row>
    <row r="348" spans="1:7" x14ac:dyDescent="0.35">
      <c r="B348" s="32" t="s">
        <v>2544</v>
      </c>
      <c r="C348" s="5" t="s">
        <v>452</v>
      </c>
      <c r="D348" s="5" t="s">
        <v>34</v>
      </c>
      <c r="E348" s="3">
        <v>0</v>
      </c>
      <c r="F348" s="3">
        <v>0</v>
      </c>
      <c r="G348" s="18">
        <f t="shared" si="19"/>
        <v>0</v>
      </c>
    </row>
    <row r="349" spans="1:7" x14ac:dyDescent="0.35">
      <c r="B349" s="32" t="s">
        <v>2544</v>
      </c>
      <c r="C349" s="5" t="s">
        <v>453</v>
      </c>
      <c r="D349" s="5" t="s">
        <v>38</v>
      </c>
      <c r="E349" s="3">
        <v>0</v>
      </c>
      <c r="F349" s="3">
        <v>0</v>
      </c>
      <c r="G349" s="18">
        <f t="shared" si="19"/>
        <v>0</v>
      </c>
    </row>
    <row r="350" spans="1:7" x14ac:dyDescent="0.35">
      <c r="B350" s="32" t="s">
        <v>2544</v>
      </c>
      <c r="C350" s="5" t="s">
        <v>454</v>
      </c>
      <c r="D350" s="5" t="s">
        <v>52</v>
      </c>
      <c r="E350" s="3">
        <v>0</v>
      </c>
      <c r="F350" s="3">
        <v>0</v>
      </c>
      <c r="G350" s="18">
        <f t="shared" si="19"/>
        <v>0</v>
      </c>
    </row>
    <row r="351" spans="1:7" x14ac:dyDescent="0.35">
      <c r="B351" s="32" t="s">
        <v>2544</v>
      </c>
      <c r="C351" s="5" t="s">
        <v>455</v>
      </c>
      <c r="D351" s="5" t="s">
        <v>64</v>
      </c>
      <c r="E351" s="3">
        <v>492000</v>
      </c>
      <c r="F351" s="3">
        <v>0</v>
      </c>
      <c r="G351" s="18">
        <f t="shared" si="19"/>
        <v>0</v>
      </c>
    </row>
    <row r="352" spans="1:7" x14ac:dyDescent="0.35">
      <c r="B352" s="32" t="s">
        <v>2544</v>
      </c>
      <c r="C352" s="5" t="s">
        <v>456</v>
      </c>
      <c r="D352" s="5" t="s">
        <v>66</v>
      </c>
      <c r="E352" s="3">
        <v>0</v>
      </c>
      <c r="F352" s="3">
        <v>0</v>
      </c>
      <c r="G352" s="18">
        <f t="shared" si="19"/>
        <v>0</v>
      </c>
    </row>
    <row r="353" spans="2:7" x14ac:dyDescent="0.35">
      <c r="B353" s="32" t="s">
        <v>2544</v>
      </c>
      <c r="C353" s="5" t="s">
        <v>457</v>
      </c>
      <c r="D353" s="5" t="s">
        <v>68</v>
      </c>
      <c r="E353" s="3">
        <v>0</v>
      </c>
      <c r="F353" s="3">
        <v>0</v>
      </c>
      <c r="G353" s="18">
        <f t="shared" si="19"/>
        <v>0</v>
      </c>
    </row>
    <row r="354" spans="2:7" x14ac:dyDescent="0.35">
      <c r="B354" s="32" t="s">
        <v>2544</v>
      </c>
      <c r="C354" s="5" t="s">
        <v>458</v>
      </c>
      <c r="D354" s="5" t="s">
        <v>459</v>
      </c>
      <c r="E354" s="3">
        <v>15000</v>
      </c>
      <c r="F354" s="3">
        <f>12211.94-1066.44</f>
        <v>11145.5</v>
      </c>
      <c r="G354" s="18">
        <f t="shared" si="19"/>
        <v>19106.571428571428</v>
      </c>
    </row>
    <row r="355" spans="2:7" x14ac:dyDescent="0.35">
      <c r="B355" s="32" t="s">
        <v>2544</v>
      </c>
      <c r="C355" s="5" t="s">
        <v>460</v>
      </c>
      <c r="D355" s="5" t="s">
        <v>238</v>
      </c>
      <c r="E355" s="3">
        <v>0</v>
      </c>
      <c r="F355" s="3">
        <v>0</v>
      </c>
      <c r="G355" s="18">
        <f t="shared" si="19"/>
        <v>0</v>
      </c>
    </row>
    <row r="356" spans="2:7" x14ac:dyDescent="0.35">
      <c r="B356" s="32" t="s">
        <v>2544</v>
      </c>
      <c r="C356" s="5" t="s">
        <v>461</v>
      </c>
      <c r="D356" s="5" t="s">
        <v>240</v>
      </c>
      <c r="E356" s="3">
        <v>0</v>
      </c>
      <c r="F356" s="3">
        <v>0</v>
      </c>
      <c r="G356" s="18">
        <f t="shared" si="19"/>
        <v>0</v>
      </c>
    </row>
    <row r="357" spans="2:7" x14ac:dyDescent="0.35">
      <c r="B357" s="32" t="s">
        <v>2544</v>
      </c>
      <c r="C357" s="5" t="s">
        <v>462</v>
      </c>
      <c r="D357" s="5" t="s">
        <v>242</v>
      </c>
      <c r="E357" s="3">
        <v>0</v>
      </c>
      <c r="F357" s="3">
        <v>0</v>
      </c>
      <c r="G357" s="18">
        <f t="shared" si="19"/>
        <v>0</v>
      </c>
    </row>
    <row r="358" spans="2:7" x14ac:dyDescent="0.35">
      <c r="B358" s="32" t="s">
        <v>2544</v>
      </c>
      <c r="C358" s="5" t="s">
        <v>463</v>
      </c>
      <c r="D358" s="5" t="s">
        <v>417</v>
      </c>
      <c r="E358" s="3">
        <v>20000</v>
      </c>
      <c r="F358" s="3">
        <f>153205.69-160.12</f>
        <v>153045.57</v>
      </c>
      <c r="G358" s="18">
        <f t="shared" si="19"/>
        <v>262363.83428571431</v>
      </c>
    </row>
    <row r="359" spans="2:7" x14ac:dyDescent="0.35">
      <c r="B359" s="32" t="s">
        <v>2544</v>
      </c>
      <c r="C359" s="5" t="s">
        <v>464</v>
      </c>
      <c r="D359" s="5" t="s">
        <v>465</v>
      </c>
      <c r="E359" s="3">
        <v>0</v>
      </c>
      <c r="F359" s="3">
        <v>0</v>
      </c>
      <c r="G359" s="18">
        <f t="shared" si="19"/>
        <v>0</v>
      </c>
    </row>
    <row r="360" spans="2:7" x14ac:dyDescent="0.35">
      <c r="B360" s="32" t="s">
        <v>2544</v>
      </c>
      <c r="C360" s="5" t="s">
        <v>466</v>
      </c>
      <c r="D360" s="5" t="s">
        <v>120</v>
      </c>
      <c r="E360" s="3">
        <v>0</v>
      </c>
      <c r="F360" s="3">
        <v>0</v>
      </c>
      <c r="G360" s="18">
        <f t="shared" si="19"/>
        <v>0</v>
      </c>
    </row>
    <row r="361" spans="2:7" x14ac:dyDescent="0.35">
      <c r="B361" s="32" t="s">
        <v>2544</v>
      </c>
      <c r="C361" s="5" t="s">
        <v>467</v>
      </c>
      <c r="D361" s="5" t="s">
        <v>420</v>
      </c>
      <c r="E361" s="3">
        <v>0</v>
      </c>
      <c r="F361" s="3">
        <v>0</v>
      </c>
      <c r="G361" s="18">
        <f t="shared" si="19"/>
        <v>0</v>
      </c>
    </row>
    <row r="362" spans="2:7" x14ac:dyDescent="0.35">
      <c r="B362" s="32" t="s">
        <v>2544</v>
      </c>
      <c r="C362" s="5" t="s">
        <v>468</v>
      </c>
      <c r="D362" s="5" t="s">
        <v>368</v>
      </c>
      <c r="E362" s="3">
        <v>0</v>
      </c>
      <c r="F362" s="3">
        <v>0</v>
      </c>
      <c r="G362" s="18">
        <f t="shared" si="19"/>
        <v>0</v>
      </c>
    </row>
    <row r="363" spans="2:7" x14ac:dyDescent="0.35">
      <c r="B363" s="32" t="s">
        <v>2544</v>
      </c>
      <c r="C363" s="5" t="s">
        <v>469</v>
      </c>
      <c r="D363" s="5" t="s">
        <v>124</v>
      </c>
      <c r="E363" s="3">
        <v>0</v>
      </c>
      <c r="F363" s="3">
        <v>0</v>
      </c>
      <c r="G363" s="18">
        <f t="shared" si="19"/>
        <v>0</v>
      </c>
    </row>
    <row r="364" spans="2:7" s="8" customFormat="1" x14ac:dyDescent="0.35">
      <c r="B364" s="33" t="s">
        <v>2546</v>
      </c>
      <c r="C364" s="5"/>
      <c r="D364" s="5"/>
      <c r="E364" s="10">
        <f>SUM(E348:E363)</f>
        <v>527000</v>
      </c>
      <c r="F364" s="10">
        <f t="shared" ref="F364:G364" si="26">SUM(F348:F363)</f>
        <v>164191.07</v>
      </c>
      <c r="G364" s="22">
        <f t="shared" si="26"/>
        <v>281470.40571428573</v>
      </c>
    </row>
    <row r="365" spans="2:7" s="8" customFormat="1" ht="8.25" customHeight="1" x14ac:dyDescent="0.35">
      <c r="B365" s="23"/>
      <c r="E365" s="39"/>
      <c r="F365" s="39"/>
      <c r="G365" s="40"/>
    </row>
    <row r="366" spans="2:7" s="8" customFormat="1" ht="15" thickBot="1" x14ac:dyDescent="0.4">
      <c r="B366" s="35" t="s">
        <v>2548</v>
      </c>
      <c r="C366" s="25"/>
      <c r="D366" s="25"/>
      <c r="E366" s="26">
        <f>+E346+E364</f>
        <v>364500</v>
      </c>
      <c r="F366" s="26">
        <f t="shared" ref="F366:G366" si="27">+F346+F364</f>
        <v>56136.140000000014</v>
      </c>
      <c r="G366" s="27">
        <f t="shared" si="27"/>
        <v>96233.38285714286</v>
      </c>
    </row>
    <row r="367" spans="2:7" s="8" customFormat="1" x14ac:dyDescent="0.35">
      <c r="E367" s="9"/>
      <c r="F367" s="9"/>
      <c r="G367" s="9"/>
    </row>
    <row r="368" spans="2:7" s="8" customFormat="1" x14ac:dyDescent="0.35">
      <c r="E368" s="9"/>
      <c r="F368" s="9"/>
      <c r="G368" s="9"/>
    </row>
    <row r="369" spans="1:7" s="8" customFormat="1" ht="15" thickBot="1" x14ac:dyDescent="0.4">
      <c r="A369" s="12" t="s">
        <v>2595</v>
      </c>
      <c r="B369" s="28" t="s">
        <v>2556</v>
      </c>
      <c r="E369" s="9"/>
      <c r="F369" s="9"/>
      <c r="G369" s="9"/>
    </row>
    <row r="370" spans="1:7" x14ac:dyDescent="0.35">
      <c r="B370" s="31" t="s">
        <v>2543</v>
      </c>
      <c r="C370" s="14" t="s">
        <v>470</v>
      </c>
      <c r="D370" s="14" t="s">
        <v>30</v>
      </c>
      <c r="E370" s="15">
        <v>0</v>
      </c>
      <c r="F370" s="15"/>
      <c r="G370" s="16"/>
    </row>
    <row r="371" spans="1:7" x14ac:dyDescent="0.35">
      <c r="B371" s="32" t="s">
        <v>2543</v>
      </c>
      <c r="C371" s="5" t="s">
        <v>471</v>
      </c>
      <c r="D371" s="5" t="s">
        <v>32</v>
      </c>
      <c r="E371" s="3">
        <v>0</v>
      </c>
      <c r="F371" s="3"/>
      <c r="G371" s="18"/>
    </row>
    <row r="372" spans="1:7" s="8" customFormat="1" x14ac:dyDescent="0.35">
      <c r="B372" s="33" t="s">
        <v>2545</v>
      </c>
      <c r="C372" s="5"/>
      <c r="D372" s="5"/>
      <c r="E372" s="10">
        <f>SUM(E370:E371)</f>
        <v>0</v>
      </c>
      <c r="F372" s="10">
        <f t="shared" ref="F372:G372" si="28">SUM(F370:F371)</f>
        <v>0</v>
      </c>
      <c r="G372" s="22">
        <f t="shared" si="28"/>
        <v>0</v>
      </c>
    </row>
    <row r="373" spans="1:7" s="8" customFormat="1" x14ac:dyDescent="0.35">
      <c r="B373" s="23"/>
      <c r="E373" s="9"/>
      <c r="F373" s="9"/>
      <c r="G373" s="21"/>
    </row>
    <row r="374" spans="1:7" x14ac:dyDescent="0.35">
      <c r="B374" s="32" t="s">
        <v>2544</v>
      </c>
      <c r="C374" s="5" t="s">
        <v>472</v>
      </c>
      <c r="D374" s="5" t="s">
        <v>34</v>
      </c>
      <c r="E374" s="3">
        <v>0</v>
      </c>
      <c r="F374" s="3"/>
      <c r="G374" s="18"/>
    </row>
    <row r="375" spans="1:7" x14ac:dyDescent="0.35">
      <c r="B375" s="32" t="s">
        <v>2544</v>
      </c>
      <c r="C375" s="5" t="s">
        <v>473</v>
      </c>
      <c r="D375" s="5" t="s">
        <v>38</v>
      </c>
      <c r="E375" s="3">
        <v>0</v>
      </c>
      <c r="F375" s="3"/>
      <c r="G375" s="18"/>
    </row>
    <row r="376" spans="1:7" x14ac:dyDescent="0.35">
      <c r="B376" s="32" t="s">
        <v>2544</v>
      </c>
      <c r="C376" s="5" t="s">
        <v>474</v>
      </c>
      <c r="D376" s="5" t="s">
        <v>52</v>
      </c>
      <c r="E376" s="3">
        <v>0</v>
      </c>
      <c r="F376" s="3"/>
      <c r="G376" s="18"/>
    </row>
    <row r="377" spans="1:7" x14ac:dyDescent="0.35">
      <c r="B377" s="32" t="s">
        <v>2544</v>
      </c>
      <c r="C377" s="5" t="s">
        <v>475</v>
      </c>
      <c r="D377" s="5" t="s">
        <v>64</v>
      </c>
      <c r="E377" s="3">
        <v>0</v>
      </c>
      <c r="F377" s="3"/>
      <c r="G377" s="18"/>
    </row>
    <row r="378" spans="1:7" x14ac:dyDescent="0.35">
      <c r="B378" s="32" t="s">
        <v>2544</v>
      </c>
      <c r="C378" s="5" t="s">
        <v>476</v>
      </c>
      <c r="D378" s="5" t="s">
        <v>66</v>
      </c>
      <c r="E378" s="3">
        <v>0</v>
      </c>
      <c r="F378" s="3"/>
      <c r="G378" s="18"/>
    </row>
    <row r="379" spans="1:7" x14ac:dyDescent="0.35">
      <c r="B379" s="32" t="s">
        <v>2544</v>
      </c>
      <c r="C379" s="5" t="s">
        <v>477</v>
      </c>
      <c r="D379" s="5" t="s">
        <v>68</v>
      </c>
      <c r="E379" s="3">
        <v>0</v>
      </c>
      <c r="F379" s="3"/>
      <c r="G379" s="18"/>
    </row>
    <row r="380" spans="1:7" x14ac:dyDescent="0.35">
      <c r="B380" s="32" t="s">
        <v>2544</v>
      </c>
      <c r="C380" s="5" t="s">
        <v>478</v>
      </c>
      <c r="D380" s="5" t="s">
        <v>479</v>
      </c>
      <c r="E380" s="3">
        <v>0</v>
      </c>
      <c r="F380" s="3"/>
      <c r="G380" s="18"/>
    </row>
    <row r="381" spans="1:7" x14ac:dyDescent="0.35">
      <c r="B381" s="32" t="s">
        <v>2544</v>
      </c>
      <c r="C381" s="5" t="s">
        <v>480</v>
      </c>
      <c r="D381" s="5" t="s">
        <v>481</v>
      </c>
      <c r="E381" s="3">
        <v>0</v>
      </c>
      <c r="F381" s="3"/>
      <c r="G381" s="18"/>
    </row>
    <row r="382" spans="1:7" x14ac:dyDescent="0.35">
      <c r="B382" s="32" t="s">
        <v>2544</v>
      </c>
      <c r="C382" s="5" t="s">
        <v>482</v>
      </c>
      <c r="D382" s="5" t="s">
        <v>417</v>
      </c>
      <c r="E382" s="3">
        <v>1500</v>
      </c>
      <c r="F382" s="3"/>
      <c r="G382" s="18"/>
    </row>
    <row r="383" spans="1:7" x14ac:dyDescent="0.35">
      <c r="B383" s="32" t="s">
        <v>2544</v>
      </c>
      <c r="C383" s="5" t="s">
        <v>483</v>
      </c>
      <c r="D383" s="5" t="s">
        <v>120</v>
      </c>
      <c r="E383" s="3">
        <v>0</v>
      </c>
      <c r="F383" s="3">
        <v>0</v>
      </c>
      <c r="G383" s="18">
        <f t="shared" si="19"/>
        <v>0</v>
      </c>
    </row>
    <row r="384" spans="1:7" x14ac:dyDescent="0.35">
      <c r="B384" s="32" t="s">
        <v>2544</v>
      </c>
      <c r="C384" s="5" t="s">
        <v>484</v>
      </c>
      <c r="D384" s="5" t="s">
        <v>124</v>
      </c>
      <c r="E384" s="3">
        <v>0</v>
      </c>
      <c r="F384" s="3">
        <v>0</v>
      </c>
      <c r="G384" s="18">
        <f t="shared" si="19"/>
        <v>0</v>
      </c>
    </row>
    <row r="385" spans="1:7" s="8" customFormat="1" x14ac:dyDescent="0.35">
      <c r="B385" s="33" t="s">
        <v>2546</v>
      </c>
      <c r="C385" s="5"/>
      <c r="D385" s="5"/>
      <c r="E385" s="10">
        <f>SUM(E374:E384)</f>
        <v>1500</v>
      </c>
      <c r="F385" s="10">
        <f t="shared" ref="F385:G385" si="29">SUM(F374:F384)</f>
        <v>0</v>
      </c>
      <c r="G385" s="22">
        <f t="shared" si="29"/>
        <v>0</v>
      </c>
    </row>
    <row r="386" spans="1:7" s="8" customFormat="1" ht="9.75" customHeight="1" x14ac:dyDescent="0.35">
      <c r="B386" s="23"/>
      <c r="E386" s="39"/>
      <c r="F386" s="39"/>
      <c r="G386" s="40"/>
    </row>
    <row r="387" spans="1:7" s="8" customFormat="1" ht="15" thickBot="1" x14ac:dyDescent="0.4">
      <c r="B387" s="35" t="s">
        <v>2548</v>
      </c>
      <c r="C387" s="25"/>
      <c r="D387" s="25"/>
      <c r="E387" s="26">
        <f>+E372+E385</f>
        <v>1500</v>
      </c>
      <c r="F387" s="26">
        <f t="shared" ref="F387:G387" si="30">+F372+F385</f>
        <v>0</v>
      </c>
      <c r="G387" s="27">
        <f t="shared" si="30"/>
        <v>0</v>
      </c>
    </row>
    <row r="388" spans="1:7" s="8" customFormat="1" x14ac:dyDescent="0.35">
      <c r="E388" s="9"/>
      <c r="F388" s="9"/>
      <c r="G388" s="9"/>
    </row>
    <row r="389" spans="1:7" s="8" customFormat="1" x14ac:dyDescent="0.35">
      <c r="E389" s="9"/>
      <c r="F389" s="9"/>
      <c r="G389" s="9"/>
    </row>
    <row r="390" spans="1:7" s="8" customFormat="1" ht="15" thickBot="1" x14ac:dyDescent="0.4">
      <c r="A390" s="12" t="s">
        <v>2589</v>
      </c>
      <c r="B390" s="12" t="s">
        <v>2557</v>
      </c>
      <c r="E390" s="9"/>
      <c r="F390" s="9"/>
      <c r="G390" s="9"/>
    </row>
    <row r="391" spans="1:7" x14ac:dyDescent="0.35">
      <c r="B391" s="31" t="s">
        <v>2543</v>
      </c>
      <c r="C391" s="14" t="s">
        <v>485</v>
      </c>
      <c r="D391" s="14" t="s">
        <v>126</v>
      </c>
      <c r="E391" s="15">
        <v>0</v>
      </c>
      <c r="F391" s="15">
        <v>0</v>
      </c>
      <c r="G391" s="16">
        <f t="shared" si="19"/>
        <v>0</v>
      </c>
    </row>
    <row r="392" spans="1:7" x14ac:dyDescent="0.35">
      <c r="B392" s="32" t="s">
        <v>2543</v>
      </c>
      <c r="C392" s="5" t="s">
        <v>486</v>
      </c>
      <c r="D392" s="5" t="s">
        <v>22</v>
      </c>
      <c r="E392" s="3">
        <v>-5500</v>
      </c>
      <c r="F392" s="3">
        <v>-4302</v>
      </c>
      <c r="G392" s="18">
        <f t="shared" si="19"/>
        <v>-7374.8571428571431</v>
      </c>
    </row>
    <row r="393" spans="1:7" x14ac:dyDescent="0.35">
      <c r="B393" s="32" t="s">
        <v>2543</v>
      </c>
      <c r="C393" s="5" t="s">
        <v>487</v>
      </c>
      <c r="D393" s="5" t="s">
        <v>30</v>
      </c>
      <c r="E393" s="3">
        <v>0</v>
      </c>
      <c r="F393" s="3">
        <v>0</v>
      </c>
      <c r="G393" s="18">
        <f t="shared" si="19"/>
        <v>0</v>
      </c>
    </row>
    <row r="394" spans="1:7" x14ac:dyDescent="0.35">
      <c r="B394" s="32" t="s">
        <v>2543</v>
      </c>
      <c r="C394" s="5" t="s">
        <v>488</v>
      </c>
      <c r="D394" s="5" t="s">
        <v>32</v>
      </c>
      <c r="E394" s="3">
        <v>0</v>
      </c>
      <c r="F394" s="3">
        <v>0</v>
      </c>
      <c r="G394" s="18">
        <f t="shared" si="19"/>
        <v>0</v>
      </c>
    </row>
    <row r="395" spans="1:7" s="8" customFormat="1" x14ac:dyDescent="0.35">
      <c r="B395" s="33" t="s">
        <v>2545</v>
      </c>
      <c r="C395" s="5"/>
      <c r="D395" s="5"/>
      <c r="E395" s="10">
        <f>SUM(E391:E394)</f>
        <v>-5500</v>
      </c>
      <c r="F395" s="10">
        <f t="shared" ref="F395:G395" si="31">SUM(F391:F394)</f>
        <v>-4302</v>
      </c>
      <c r="G395" s="22">
        <f t="shared" si="31"/>
        <v>-7374.8571428571431</v>
      </c>
    </row>
    <row r="396" spans="1:7" s="8" customFormat="1" x14ac:dyDescent="0.35">
      <c r="B396" s="23"/>
      <c r="E396" s="9"/>
      <c r="F396" s="9"/>
      <c r="G396" s="21"/>
    </row>
    <row r="397" spans="1:7" x14ac:dyDescent="0.35">
      <c r="B397" s="32" t="s">
        <v>2544</v>
      </c>
      <c r="C397" s="5" t="s">
        <v>489</v>
      </c>
      <c r="D397" s="5" t="s">
        <v>34</v>
      </c>
      <c r="E397" s="3">
        <v>0</v>
      </c>
      <c r="F397" s="3">
        <v>48037.14</v>
      </c>
      <c r="G397" s="18">
        <f t="shared" si="19"/>
        <v>82349.38285714286</v>
      </c>
    </row>
    <row r="398" spans="1:7" x14ac:dyDescent="0.35">
      <c r="B398" s="32" t="s">
        <v>2544</v>
      </c>
      <c r="C398" s="5" t="s">
        <v>490</v>
      </c>
      <c r="D398" s="5" t="s">
        <v>36</v>
      </c>
      <c r="E398" s="3">
        <v>0</v>
      </c>
      <c r="F398" s="3">
        <v>7306.41</v>
      </c>
      <c r="G398" s="18">
        <f t="shared" ref="G398:G477" si="32">+F398/7*12</f>
        <v>12525.274285714288</v>
      </c>
    </row>
    <row r="399" spans="1:7" x14ac:dyDescent="0.35">
      <c r="B399" s="32" t="s">
        <v>2544</v>
      </c>
      <c r="C399" s="5" t="s">
        <v>491</v>
      </c>
      <c r="D399" s="5" t="s">
        <v>38</v>
      </c>
      <c r="E399" s="3">
        <v>0</v>
      </c>
      <c r="F399" s="3">
        <v>0</v>
      </c>
      <c r="G399" s="18">
        <f t="shared" si="32"/>
        <v>0</v>
      </c>
    </row>
    <row r="400" spans="1:7" x14ac:dyDescent="0.35">
      <c r="B400" s="32" t="s">
        <v>2544</v>
      </c>
      <c r="C400" s="5" t="s">
        <v>492</v>
      </c>
      <c r="D400" s="5" t="s">
        <v>40</v>
      </c>
      <c r="E400" s="3">
        <v>0</v>
      </c>
      <c r="F400" s="3">
        <v>0</v>
      </c>
      <c r="G400" s="18">
        <f t="shared" si="32"/>
        <v>0</v>
      </c>
    </row>
    <row r="401" spans="2:7" x14ac:dyDescent="0.35">
      <c r="B401" s="32" t="s">
        <v>2544</v>
      </c>
      <c r="C401" s="5" t="s">
        <v>493</v>
      </c>
      <c r="D401" s="5" t="s">
        <v>42</v>
      </c>
      <c r="E401" s="3">
        <v>0</v>
      </c>
      <c r="F401" s="3">
        <v>8573.11</v>
      </c>
      <c r="G401" s="18">
        <f t="shared" si="32"/>
        <v>14696.76</v>
      </c>
    </row>
    <row r="402" spans="2:7" x14ac:dyDescent="0.35">
      <c r="B402" s="32" t="s">
        <v>2544</v>
      </c>
      <c r="C402" s="5" t="s">
        <v>494</v>
      </c>
      <c r="D402" s="5" t="s">
        <v>44</v>
      </c>
      <c r="E402" s="3">
        <v>0</v>
      </c>
      <c r="F402" s="3">
        <v>477.83</v>
      </c>
      <c r="G402" s="18">
        <f t="shared" si="32"/>
        <v>819.13714285714286</v>
      </c>
    </row>
    <row r="403" spans="2:7" x14ac:dyDescent="0.35">
      <c r="B403" s="32" t="s">
        <v>2544</v>
      </c>
      <c r="C403" s="5" t="s">
        <v>495</v>
      </c>
      <c r="D403" s="5" t="s">
        <v>46</v>
      </c>
      <c r="E403" s="3">
        <v>0</v>
      </c>
      <c r="F403" s="3">
        <v>47.46</v>
      </c>
      <c r="G403" s="18">
        <f t="shared" si="32"/>
        <v>81.36</v>
      </c>
    </row>
    <row r="404" spans="2:7" x14ac:dyDescent="0.35">
      <c r="B404" s="32" t="s">
        <v>2544</v>
      </c>
      <c r="C404" s="5" t="s">
        <v>496</v>
      </c>
      <c r="D404" s="5" t="s">
        <v>50</v>
      </c>
      <c r="E404" s="3">
        <v>0</v>
      </c>
      <c r="F404" s="3">
        <v>417.13</v>
      </c>
      <c r="G404" s="18">
        <f t="shared" si="32"/>
        <v>715.07999999999993</v>
      </c>
    </row>
    <row r="405" spans="2:7" x14ac:dyDescent="0.35">
      <c r="B405" s="32" t="s">
        <v>2544</v>
      </c>
      <c r="C405" s="5" t="s">
        <v>497</v>
      </c>
      <c r="D405" s="5" t="s">
        <v>52</v>
      </c>
      <c r="E405" s="3">
        <v>0</v>
      </c>
      <c r="F405" s="3">
        <v>1971.6</v>
      </c>
      <c r="G405" s="18">
        <f t="shared" si="32"/>
        <v>3379.8857142857141</v>
      </c>
    </row>
    <row r="406" spans="2:7" x14ac:dyDescent="0.35">
      <c r="B406" s="32" t="s">
        <v>2544</v>
      </c>
      <c r="C406" s="5" t="s">
        <v>498</v>
      </c>
      <c r="D406" s="5" t="s">
        <v>64</v>
      </c>
      <c r="E406" s="3">
        <v>0</v>
      </c>
      <c r="F406" s="3">
        <v>0</v>
      </c>
      <c r="G406" s="18">
        <f t="shared" si="32"/>
        <v>0</v>
      </c>
    </row>
    <row r="407" spans="2:7" x14ac:dyDescent="0.35">
      <c r="B407" s="32" t="s">
        <v>2544</v>
      </c>
      <c r="C407" s="5" t="s">
        <v>499</v>
      </c>
      <c r="D407" s="5" t="s">
        <v>66</v>
      </c>
      <c r="E407" s="3">
        <v>0</v>
      </c>
      <c r="F407" s="3">
        <v>0</v>
      </c>
      <c r="G407" s="18">
        <f t="shared" si="32"/>
        <v>0</v>
      </c>
    </row>
    <row r="408" spans="2:7" x14ac:dyDescent="0.35">
      <c r="B408" s="32" t="s">
        <v>2544</v>
      </c>
      <c r="C408" s="5" t="s">
        <v>500</v>
      </c>
      <c r="D408" s="5" t="s">
        <v>68</v>
      </c>
      <c r="E408" s="3">
        <v>0</v>
      </c>
      <c r="F408" s="3">
        <v>0</v>
      </c>
      <c r="G408" s="18">
        <f t="shared" si="32"/>
        <v>0</v>
      </c>
    </row>
    <row r="409" spans="2:7" x14ac:dyDescent="0.35">
      <c r="B409" s="32" t="s">
        <v>2544</v>
      </c>
      <c r="C409" s="5" t="s">
        <v>501</v>
      </c>
      <c r="D409" s="5" t="s">
        <v>90</v>
      </c>
      <c r="E409" s="3">
        <v>6000</v>
      </c>
      <c r="F409" s="3">
        <v>6000</v>
      </c>
      <c r="G409" s="18">
        <f t="shared" si="32"/>
        <v>10285.714285714286</v>
      </c>
    </row>
    <row r="410" spans="2:7" x14ac:dyDescent="0.35">
      <c r="B410" s="32" t="s">
        <v>2544</v>
      </c>
      <c r="C410" s="5" t="s">
        <v>502</v>
      </c>
      <c r="D410" s="5" t="s">
        <v>440</v>
      </c>
      <c r="E410" s="3">
        <v>0</v>
      </c>
      <c r="F410" s="3">
        <v>0</v>
      </c>
      <c r="G410" s="18">
        <f t="shared" si="32"/>
        <v>0</v>
      </c>
    </row>
    <row r="411" spans="2:7" x14ac:dyDescent="0.35">
      <c r="B411" s="32" t="s">
        <v>2544</v>
      </c>
      <c r="C411" s="5" t="s">
        <v>503</v>
      </c>
      <c r="D411" s="5" t="s">
        <v>504</v>
      </c>
      <c r="E411" s="3">
        <v>0</v>
      </c>
      <c r="F411" s="3">
        <v>0</v>
      </c>
      <c r="G411" s="18">
        <f t="shared" si="32"/>
        <v>0</v>
      </c>
    </row>
    <row r="412" spans="2:7" x14ac:dyDescent="0.35">
      <c r="B412" s="32" t="s">
        <v>2544</v>
      </c>
      <c r="C412" s="5" t="s">
        <v>505</v>
      </c>
      <c r="D412" s="5" t="s">
        <v>506</v>
      </c>
      <c r="E412" s="3">
        <v>0</v>
      </c>
      <c r="F412" s="3">
        <v>0</v>
      </c>
      <c r="G412" s="18">
        <f t="shared" si="32"/>
        <v>0</v>
      </c>
    </row>
    <row r="413" spans="2:7" x14ac:dyDescent="0.35">
      <c r="B413" s="32" t="s">
        <v>2544</v>
      </c>
      <c r="C413" s="5" t="s">
        <v>507</v>
      </c>
      <c r="D413" s="5" t="s">
        <v>242</v>
      </c>
      <c r="E413" s="3">
        <v>0</v>
      </c>
      <c r="F413" s="3">
        <v>0</v>
      </c>
      <c r="G413" s="18">
        <f t="shared" si="32"/>
        <v>0</v>
      </c>
    </row>
    <row r="414" spans="2:7" x14ac:dyDescent="0.35">
      <c r="B414" s="32" t="s">
        <v>2544</v>
      </c>
      <c r="C414" s="5" t="s">
        <v>508</v>
      </c>
      <c r="D414" s="5" t="s">
        <v>417</v>
      </c>
      <c r="E414" s="3">
        <v>1500</v>
      </c>
      <c r="F414" s="3">
        <v>7747.37</v>
      </c>
      <c r="G414" s="18">
        <f t="shared" si="32"/>
        <v>13281.205714285712</v>
      </c>
    </row>
    <row r="415" spans="2:7" x14ac:dyDescent="0.35">
      <c r="B415" s="32" t="s">
        <v>2544</v>
      </c>
      <c r="C415" s="5" t="s">
        <v>509</v>
      </c>
      <c r="D415" s="5" t="s">
        <v>120</v>
      </c>
      <c r="E415" s="3">
        <v>0</v>
      </c>
      <c r="F415" s="3">
        <v>0</v>
      </c>
      <c r="G415" s="18">
        <f t="shared" si="32"/>
        <v>0</v>
      </c>
    </row>
    <row r="416" spans="2:7" x14ac:dyDescent="0.35">
      <c r="B416" s="32" t="s">
        <v>2544</v>
      </c>
      <c r="C416" s="5" t="s">
        <v>510</v>
      </c>
      <c r="D416" s="5" t="s">
        <v>368</v>
      </c>
      <c r="E416" s="3">
        <v>0</v>
      </c>
      <c r="F416" s="3">
        <v>0</v>
      </c>
      <c r="G416" s="18">
        <f t="shared" si="32"/>
        <v>0</v>
      </c>
    </row>
    <row r="417" spans="1:7" x14ac:dyDescent="0.35">
      <c r="B417" s="32" t="s">
        <v>2544</v>
      </c>
      <c r="C417" s="5" t="s">
        <v>511</v>
      </c>
      <c r="D417" s="5" t="s">
        <v>124</v>
      </c>
      <c r="E417" s="3">
        <v>0</v>
      </c>
      <c r="F417" s="3">
        <v>0</v>
      </c>
      <c r="G417" s="18">
        <f t="shared" si="32"/>
        <v>0</v>
      </c>
    </row>
    <row r="418" spans="1:7" s="8" customFormat="1" x14ac:dyDescent="0.35">
      <c r="B418" s="33" t="s">
        <v>2546</v>
      </c>
      <c r="C418" s="5"/>
      <c r="D418" s="5"/>
      <c r="E418" s="10">
        <f>SUM(E397:E417)</f>
        <v>7500</v>
      </c>
      <c r="F418" s="10">
        <f t="shared" ref="F418:G418" si="33">SUM(F397:F417)</f>
        <v>80578.05</v>
      </c>
      <c r="G418" s="22">
        <f t="shared" si="33"/>
        <v>138133.80000000002</v>
      </c>
    </row>
    <row r="419" spans="1:7" s="8" customFormat="1" ht="8.25" customHeight="1" x14ac:dyDescent="0.35">
      <c r="B419" s="23"/>
      <c r="E419" s="39"/>
      <c r="F419" s="39"/>
      <c r="G419" s="40"/>
    </row>
    <row r="420" spans="1:7" s="8" customFormat="1" ht="15" thickBot="1" x14ac:dyDescent="0.4">
      <c r="B420" s="35" t="s">
        <v>2548</v>
      </c>
      <c r="C420" s="25"/>
      <c r="D420" s="25"/>
      <c r="E420" s="26">
        <f>+E395+E418</f>
        <v>2000</v>
      </c>
      <c r="F420" s="26">
        <f t="shared" ref="F420:G420" si="34">+F395+F418</f>
        <v>76276.05</v>
      </c>
      <c r="G420" s="27">
        <f t="shared" si="34"/>
        <v>130758.94285714287</v>
      </c>
    </row>
    <row r="421" spans="1:7" s="8" customFormat="1" x14ac:dyDescent="0.35">
      <c r="E421" s="9"/>
      <c r="F421" s="9"/>
      <c r="G421" s="9"/>
    </row>
    <row r="422" spans="1:7" s="8" customFormat="1" x14ac:dyDescent="0.35">
      <c r="E422" s="9"/>
      <c r="F422" s="9"/>
      <c r="G422" s="9"/>
    </row>
    <row r="423" spans="1:7" s="8" customFormat="1" ht="15" thickBot="1" x14ac:dyDescent="0.4">
      <c r="A423" s="12" t="s">
        <v>2593</v>
      </c>
      <c r="B423" s="12" t="s">
        <v>2558</v>
      </c>
      <c r="E423" s="9"/>
      <c r="F423" s="9"/>
      <c r="G423" s="9"/>
    </row>
    <row r="424" spans="1:7" x14ac:dyDescent="0.35">
      <c r="B424" s="41" t="s">
        <v>2543</v>
      </c>
      <c r="C424" s="14" t="s">
        <v>512</v>
      </c>
      <c r="D424" s="14" t="s">
        <v>513</v>
      </c>
      <c r="E424" s="15">
        <v>-4000</v>
      </c>
      <c r="F424" s="15">
        <v>-1983.9</v>
      </c>
      <c r="G424" s="16">
        <f t="shared" si="32"/>
        <v>-3400.9714285714285</v>
      </c>
    </row>
    <row r="425" spans="1:7" x14ac:dyDescent="0.35">
      <c r="B425" s="42" t="s">
        <v>2543</v>
      </c>
      <c r="C425" s="5" t="s">
        <v>514</v>
      </c>
      <c r="D425" s="5" t="s">
        <v>515</v>
      </c>
      <c r="E425" s="3">
        <v>0</v>
      </c>
      <c r="F425" s="3">
        <v>0</v>
      </c>
      <c r="G425" s="18">
        <f t="shared" si="32"/>
        <v>0</v>
      </c>
    </row>
    <row r="426" spans="1:7" x14ac:dyDescent="0.35">
      <c r="B426" s="42" t="s">
        <v>2543</v>
      </c>
      <c r="C426" s="5" t="s">
        <v>516</v>
      </c>
      <c r="D426" s="5" t="s">
        <v>126</v>
      </c>
      <c r="E426" s="3">
        <v>0</v>
      </c>
      <c r="F426" s="3">
        <v>0</v>
      </c>
      <c r="G426" s="18">
        <f t="shared" si="32"/>
        <v>0</v>
      </c>
    </row>
    <row r="427" spans="1:7" x14ac:dyDescent="0.35">
      <c r="B427" s="42" t="s">
        <v>2543</v>
      </c>
      <c r="C427" s="5" t="s">
        <v>517</v>
      </c>
      <c r="D427" s="5" t="s">
        <v>518</v>
      </c>
      <c r="E427" s="3">
        <v>-20000</v>
      </c>
      <c r="F427" s="3">
        <v>-19569.3</v>
      </c>
      <c r="G427" s="18">
        <f t="shared" si="32"/>
        <v>-33547.371428571423</v>
      </c>
    </row>
    <row r="428" spans="1:7" x14ac:dyDescent="0.35">
      <c r="B428" s="42" t="s">
        <v>2543</v>
      </c>
      <c r="C428" s="5" t="s">
        <v>519</v>
      </c>
      <c r="D428" s="5" t="s">
        <v>30</v>
      </c>
      <c r="E428" s="3">
        <v>0</v>
      </c>
      <c r="F428" s="3">
        <v>0</v>
      </c>
      <c r="G428" s="18">
        <f t="shared" si="32"/>
        <v>0</v>
      </c>
    </row>
    <row r="429" spans="1:7" x14ac:dyDescent="0.35">
      <c r="B429" s="42" t="s">
        <v>2543</v>
      </c>
      <c r="C429" s="5" t="s">
        <v>520</v>
      </c>
      <c r="D429" s="5" t="s">
        <v>32</v>
      </c>
      <c r="E429" s="3">
        <v>0</v>
      </c>
      <c r="F429" s="3">
        <v>0</v>
      </c>
      <c r="G429" s="18">
        <f t="shared" si="32"/>
        <v>0</v>
      </c>
    </row>
    <row r="430" spans="1:7" s="8" customFormat="1" x14ac:dyDescent="0.35">
      <c r="B430" s="33" t="s">
        <v>2545</v>
      </c>
      <c r="C430" s="5"/>
      <c r="D430" s="5"/>
      <c r="E430" s="10">
        <f>SUM(E424:E429)</f>
        <v>-24000</v>
      </c>
      <c r="F430" s="10">
        <f t="shared" ref="F430:G430" si="35">SUM(F424:F429)</f>
        <v>-21553.200000000001</v>
      </c>
      <c r="G430" s="22">
        <f t="shared" si="35"/>
        <v>-36948.342857142852</v>
      </c>
    </row>
    <row r="431" spans="1:7" s="8" customFormat="1" x14ac:dyDescent="0.35">
      <c r="B431" s="23"/>
      <c r="E431" s="9"/>
      <c r="F431" s="9"/>
      <c r="G431" s="21"/>
    </row>
    <row r="432" spans="1:7" x14ac:dyDescent="0.35">
      <c r="B432" s="32" t="s">
        <v>2544</v>
      </c>
      <c r="C432" s="5" t="s">
        <v>521</v>
      </c>
      <c r="D432" s="5" t="s">
        <v>34</v>
      </c>
      <c r="E432" s="3">
        <v>641867</v>
      </c>
      <c r="F432" s="3">
        <f>546940.21-7893.04</f>
        <v>539047.16999999993</v>
      </c>
      <c r="G432" s="18">
        <f t="shared" si="32"/>
        <v>924080.8628571427</v>
      </c>
    </row>
    <row r="433" spans="2:7" x14ac:dyDescent="0.35">
      <c r="B433" s="32" t="s">
        <v>2544</v>
      </c>
      <c r="C433" s="5" t="s">
        <v>522</v>
      </c>
      <c r="D433" s="5" t="s">
        <v>36</v>
      </c>
      <c r="E433" s="3">
        <v>53489</v>
      </c>
      <c r="F433" s="3">
        <v>86614.52</v>
      </c>
      <c r="G433" s="18">
        <f t="shared" si="32"/>
        <v>148482.0342857143</v>
      </c>
    </row>
    <row r="434" spans="2:7" x14ac:dyDescent="0.35">
      <c r="B434" s="32" t="s">
        <v>2544</v>
      </c>
      <c r="C434" s="5" t="s">
        <v>523</v>
      </c>
      <c r="D434" s="5" t="s">
        <v>38</v>
      </c>
      <c r="E434" s="3">
        <v>0</v>
      </c>
      <c r="F434" s="3">
        <v>13023.69</v>
      </c>
      <c r="G434" s="18">
        <f t="shared" si="32"/>
        <v>22326.325714285715</v>
      </c>
    </row>
    <row r="435" spans="2:7" x14ac:dyDescent="0.35">
      <c r="B435" s="32" t="s">
        <v>2544</v>
      </c>
      <c r="C435" s="5" t="s">
        <v>524</v>
      </c>
      <c r="D435" s="5" t="s">
        <v>40</v>
      </c>
      <c r="E435" s="3">
        <v>0</v>
      </c>
      <c r="F435" s="3">
        <v>0</v>
      </c>
      <c r="G435" s="18">
        <f t="shared" si="32"/>
        <v>0</v>
      </c>
    </row>
    <row r="436" spans="2:7" x14ac:dyDescent="0.35">
      <c r="B436" s="32" t="s">
        <v>2544</v>
      </c>
      <c r="C436" s="5" t="s">
        <v>525</v>
      </c>
      <c r="D436" s="5" t="s">
        <v>526</v>
      </c>
      <c r="E436" s="3">
        <v>0</v>
      </c>
      <c r="F436" s="3">
        <v>3153.29</v>
      </c>
      <c r="G436" s="18">
        <f t="shared" si="32"/>
        <v>5405.6399999999994</v>
      </c>
    </row>
    <row r="437" spans="2:7" x14ac:dyDescent="0.35">
      <c r="B437" s="32" t="s">
        <v>2544</v>
      </c>
      <c r="C437" s="5" t="s">
        <v>527</v>
      </c>
      <c r="D437" s="5" t="s">
        <v>197</v>
      </c>
      <c r="E437" s="3">
        <v>0</v>
      </c>
      <c r="F437" s="3">
        <v>0</v>
      </c>
      <c r="G437" s="18">
        <f t="shared" si="32"/>
        <v>0</v>
      </c>
    </row>
    <row r="438" spans="2:7" x14ac:dyDescent="0.35">
      <c r="B438" s="32" t="s">
        <v>2544</v>
      </c>
      <c r="C438" s="5" t="s">
        <v>528</v>
      </c>
      <c r="D438" s="5" t="s">
        <v>42</v>
      </c>
      <c r="E438" s="3">
        <v>74483</v>
      </c>
      <c r="F438" s="3">
        <v>66620.47</v>
      </c>
      <c r="G438" s="18">
        <f t="shared" si="32"/>
        <v>114206.52000000002</v>
      </c>
    </row>
    <row r="439" spans="2:7" x14ac:dyDescent="0.35">
      <c r="B439" s="32" t="s">
        <v>2544</v>
      </c>
      <c r="C439" s="5" t="s">
        <v>529</v>
      </c>
      <c r="D439" s="5" t="s">
        <v>44</v>
      </c>
      <c r="E439" s="3">
        <v>6419</v>
      </c>
      <c r="F439" s="3">
        <v>5216.1000000000004</v>
      </c>
      <c r="G439" s="18">
        <f t="shared" si="32"/>
        <v>8941.8857142857159</v>
      </c>
    </row>
    <row r="440" spans="2:7" x14ac:dyDescent="0.35">
      <c r="B440" s="32" t="s">
        <v>2544</v>
      </c>
      <c r="C440" s="5" t="s">
        <v>530</v>
      </c>
      <c r="D440" s="5" t="s">
        <v>46</v>
      </c>
      <c r="E440" s="3">
        <v>6419</v>
      </c>
      <c r="F440" s="3">
        <v>423.9</v>
      </c>
      <c r="G440" s="18">
        <f t="shared" si="32"/>
        <v>726.68571428571431</v>
      </c>
    </row>
    <row r="441" spans="2:7" x14ac:dyDescent="0.35">
      <c r="B441" s="32" t="s">
        <v>2544</v>
      </c>
      <c r="C441" s="5" t="s">
        <v>531</v>
      </c>
      <c r="D441" s="5" t="s">
        <v>48</v>
      </c>
      <c r="E441" s="3">
        <v>0</v>
      </c>
      <c r="F441" s="3">
        <v>0</v>
      </c>
      <c r="G441" s="18">
        <f t="shared" si="32"/>
        <v>0</v>
      </c>
    </row>
    <row r="442" spans="2:7" x14ac:dyDescent="0.35">
      <c r="B442" s="32" t="s">
        <v>2544</v>
      </c>
      <c r="C442" s="5" t="s">
        <v>532</v>
      </c>
      <c r="D442" s="5" t="s">
        <v>50</v>
      </c>
      <c r="E442" s="3">
        <v>6419</v>
      </c>
      <c r="F442" s="3">
        <v>4390.8599999999997</v>
      </c>
      <c r="G442" s="18">
        <f t="shared" si="32"/>
        <v>7527.1885714285709</v>
      </c>
    </row>
    <row r="443" spans="2:7" x14ac:dyDescent="0.35">
      <c r="B443" s="32" t="s">
        <v>2544</v>
      </c>
      <c r="C443" s="5" t="s">
        <v>533</v>
      </c>
      <c r="D443" s="5" t="s">
        <v>331</v>
      </c>
      <c r="E443" s="3">
        <v>2971</v>
      </c>
      <c r="F443" s="3">
        <v>0</v>
      </c>
      <c r="G443" s="18">
        <f t="shared" si="32"/>
        <v>0</v>
      </c>
    </row>
    <row r="444" spans="2:7" x14ac:dyDescent="0.35">
      <c r="B444" s="32" t="s">
        <v>2544</v>
      </c>
      <c r="C444" s="5" t="s">
        <v>534</v>
      </c>
      <c r="D444" s="5" t="s">
        <v>52</v>
      </c>
      <c r="E444" s="3">
        <v>0</v>
      </c>
      <c r="F444" s="3">
        <v>20210.46</v>
      </c>
      <c r="G444" s="18">
        <f t="shared" si="32"/>
        <v>34646.502857142856</v>
      </c>
    </row>
    <row r="445" spans="2:7" x14ac:dyDescent="0.35">
      <c r="B445" s="32" t="s">
        <v>2544</v>
      </c>
      <c r="C445" s="5" t="s">
        <v>535</v>
      </c>
      <c r="D445" s="5" t="s">
        <v>64</v>
      </c>
      <c r="E445" s="3">
        <v>0</v>
      </c>
      <c r="F445" s="3">
        <v>0</v>
      </c>
      <c r="G445" s="18">
        <f t="shared" si="32"/>
        <v>0</v>
      </c>
    </row>
    <row r="446" spans="2:7" x14ac:dyDescent="0.35">
      <c r="B446" s="32" t="s">
        <v>2544</v>
      </c>
      <c r="C446" s="5" t="s">
        <v>536</v>
      </c>
      <c r="D446" s="5" t="s">
        <v>66</v>
      </c>
      <c r="E446" s="3">
        <v>0</v>
      </c>
      <c r="F446" s="3">
        <v>0</v>
      </c>
      <c r="G446" s="18">
        <f t="shared" si="32"/>
        <v>0</v>
      </c>
    </row>
    <row r="447" spans="2:7" x14ac:dyDescent="0.35">
      <c r="B447" s="32" t="s">
        <v>2544</v>
      </c>
      <c r="C447" s="5" t="s">
        <v>537</v>
      </c>
      <c r="D447" s="5" t="s">
        <v>68</v>
      </c>
      <c r="E447" s="3">
        <v>0</v>
      </c>
      <c r="F447" s="3">
        <v>0</v>
      </c>
      <c r="G447" s="18">
        <f t="shared" si="32"/>
        <v>0</v>
      </c>
    </row>
    <row r="448" spans="2:7" x14ac:dyDescent="0.35">
      <c r="B448" s="32" t="s">
        <v>2544</v>
      </c>
      <c r="C448" s="5" t="s">
        <v>538</v>
      </c>
      <c r="D448" s="5" t="s">
        <v>90</v>
      </c>
      <c r="E448" s="3">
        <v>6000</v>
      </c>
      <c r="F448" s="3">
        <v>6000</v>
      </c>
      <c r="G448" s="18">
        <f t="shared" si="32"/>
        <v>10285.714285714286</v>
      </c>
    </row>
    <row r="449" spans="2:7" x14ac:dyDescent="0.35">
      <c r="B449" s="32" t="s">
        <v>2544</v>
      </c>
      <c r="C449" s="5" t="s">
        <v>539</v>
      </c>
      <c r="D449" s="5" t="s">
        <v>440</v>
      </c>
      <c r="E449" s="3">
        <v>9500</v>
      </c>
      <c r="F449" s="3">
        <v>0</v>
      </c>
      <c r="G449" s="18">
        <f t="shared" si="32"/>
        <v>0</v>
      </c>
    </row>
    <row r="450" spans="2:7" x14ac:dyDescent="0.35">
      <c r="B450" s="32" t="s">
        <v>2544</v>
      </c>
      <c r="C450" s="5" t="s">
        <v>540</v>
      </c>
      <c r="D450" s="5" t="s">
        <v>541</v>
      </c>
      <c r="E450" s="3">
        <v>0</v>
      </c>
      <c r="F450" s="3">
        <v>0</v>
      </c>
      <c r="G450" s="18">
        <f t="shared" si="32"/>
        <v>0</v>
      </c>
    </row>
    <row r="451" spans="2:7" x14ac:dyDescent="0.35">
      <c r="B451" s="32" t="s">
        <v>2544</v>
      </c>
      <c r="C451" s="5" t="s">
        <v>542</v>
      </c>
      <c r="D451" s="5" t="s">
        <v>543</v>
      </c>
      <c r="E451" s="3">
        <v>7000</v>
      </c>
      <c r="F451" s="3">
        <v>1250.74</v>
      </c>
      <c r="G451" s="18">
        <f t="shared" si="32"/>
        <v>2144.1257142857144</v>
      </c>
    </row>
    <row r="452" spans="2:7" x14ac:dyDescent="0.35">
      <c r="B452" s="32" t="s">
        <v>2544</v>
      </c>
      <c r="C452" s="5" t="s">
        <v>544</v>
      </c>
      <c r="D452" s="5" t="s">
        <v>238</v>
      </c>
      <c r="E452" s="3">
        <v>0</v>
      </c>
      <c r="F452" s="3">
        <v>0</v>
      </c>
      <c r="G452" s="18">
        <f t="shared" si="32"/>
        <v>0</v>
      </c>
    </row>
    <row r="453" spans="2:7" x14ac:dyDescent="0.35">
      <c r="B453" s="32" t="s">
        <v>2544</v>
      </c>
      <c r="C453" s="5" t="s">
        <v>545</v>
      </c>
      <c r="D453" s="5" t="s">
        <v>240</v>
      </c>
      <c r="E453" s="3">
        <v>0</v>
      </c>
      <c r="F453" s="3">
        <v>0</v>
      </c>
      <c r="G453" s="18">
        <f t="shared" si="32"/>
        <v>0</v>
      </c>
    </row>
    <row r="454" spans="2:7" x14ac:dyDescent="0.35">
      <c r="B454" s="32" t="s">
        <v>2544</v>
      </c>
      <c r="C454" s="5" t="s">
        <v>546</v>
      </c>
      <c r="D454" s="5" t="s">
        <v>417</v>
      </c>
      <c r="E454" s="3">
        <v>35000</v>
      </c>
      <c r="F454" s="3">
        <v>14125.17</v>
      </c>
      <c r="G454" s="18">
        <f t="shared" si="32"/>
        <v>24214.577142857142</v>
      </c>
    </row>
    <row r="455" spans="2:7" x14ac:dyDescent="0.35">
      <c r="B455" s="32" t="s">
        <v>2544</v>
      </c>
      <c r="C455" s="5" t="s">
        <v>547</v>
      </c>
      <c r="D455" s="5" t="s">
        <v>548</v>
      </c>
      <c r="E455" s="3">
        <v>1500</v>
      </c>
      <c r="F455" s="3">
        <v>10282</v>
      </c>
      <c r="G455" s="18">
        <f t="shared" si="32"/>
        <v>17626.285714285714</v>
      </c>
    </row>
    <row r="456" spans="2:7" x14ac:dyDescent="0.35">
      <c r="B456" s="32" t="s">
        <v>2544</v>
      </c>
      <c r="C456" s="5" t="s">
        <v>549</v>
      </c>
      <c r="D456" s="5" t="s">
        <v>465</v>
      </c>
      <c r="E456" s="3">
        <v>0</v>
      </c>
      <c r="F456" s="3">
        <v>0</v>
      </c>
      <c r="G456" s="18">
        <f t="shared" si="32"/>
        <v>0</v>
      </c>
    </row>
    <row r="457" spans="2:7" x14ac:dyDescent="0.35">
      <c r="B457" s="32" t="s">
        <v>2544</v>
      </c>
      <c r="C457" s="5" t="s">
        <v>550</v>
      </c>
      <c r="D457" s="5" t="s">
        <v>120</v>
      </c>
      <c r="E457" s="3">
        <v>0</v>
      </c>
      <c r="F457" s="3">
        <v>0</v>
      </c>
      <c r="G457" s="18">
        <f t="shared" si="32"/>
        <v>0</v>
      </c>
    </row>
    <row r="458" spans="2:7" x14ac:dyDescent="0.35">
      <c r="B458" s="32" t="s">
        <v>2544</v>
      </c>
      <c r="C458" s="5" t="s">
        <v>551</v>
      </c>
      <c r="D458" s="5" t="s">
        <v>420</v>
      </c>
      <c r="E458" s="3">
        <v>0</v>
      </c>
      <c r="F458" s="3">
        <v>0</v>
      </c>
      <c r="G458" s="18">
        <f t="shared" si="32"/>
        <v>0</v>
      </c>
    </row>
    <row r="459" spans="2:7" x14ac:dyDescent="0.35">
      <c r="B459" s="32" t="s">
        <v>2544</v>
      </c>
      <c r="C459" s="5" t="s">
        <v>552</v>
      </c>
      <c r="D459" s="5" t="s">
        <v>368</v>
      </c>
      <c r="E459" s="3">
        <v>9273</v>
      </c>
      <c r="F459" s="3">
        <v>5630.64</v>
      </c>
      <c r="G459" s="18">
        <f t="shared" si="32"/>
        <v>9652.5257142857154</v>
      </c>
    </row>
    <row r="460" spans="2:7" x14ac:dyDescent="0.35">
      <c r="B460" s="32" t="s">
        <v>2544</v>
      </c>
      <c r="C460" s="5" t="s">
        <v>553</v>
      </c>
      <c r="D460" s="5" t="s">
        <v>124</v>
      </c>
      <c r="E460" s="3">
        <v>0</v>
      </c>
      <c r="F460" s="3">
        <v>0</v>
      </c>
      <c r="G460" s="18">
        <f t="shared" si="32"/>
        <v>0</v>
      </c>
    </row>
    <row r="461" spans="2:7" s="8" customFormat="1" x14ac:dyDescent="0.35">
      <c r="B461" s="33" t="s">
        <v>2546</v>
      </c>
      <c r="C461" s="5"/>
      <c r="D461" s="5"/>
      <c r="E461" s="10">
        <f>SUM(E432:E460)</f>
        <v>860340</v>
      </c>
      <c r="F461" s="10">
        <f t="shared" ref="F461:G461" si="36">SUM(F432:F460)</f>
        <v>775989.00999999989</v>
      </c>
      <c r="G461" s="22">
        <f t="shared" si="36"/>
        <v>1330266.8742857145</v>
      </c>
    </row>
    <row r="462" spans="2:7" s="8" customFormat="1" ht="9.75" customHeight="1" x14ac:dyDescent="0.35">
      <c r="B462" s="23"/>
      <c r="E462" s="39"/>
      <c r="F462" s="39"/>
      <c r="G462" s="40"/>
    </row>
    <row r="463" spans="2:7" s="8" customFormat="1" ht="15" thickBot="1" x14ac:dyDescent="0.4">
      <c r="B463" s="35" t="s">
        <v>2548</v>
      </c>
      <c r="C463" s="25"/>
      <c r="D463" s="25"/>
      <c r="E463" s="26">
        <f>+E430+E461</f>
        <v>836340</v>
      </c>
      <c r="F463" s="26">
        <f t="shared" ref="F463:G463" si="37">+F430+F461</f>
        <v>754435.80999999994</v>
      </c>
      <c r="G463" s="27">
        <f t="shared" si="37"/>
        <v>1293318.5314285716</v>
      </c>
    </row>
    <row r="464" spans="2:7" s="8" customFormat="1" x14ac:dyDescent="0.35">
      <c r="E464" s="9"/>
      <c r="F464" s="9"/>
      <c r="G464" s="9"/>
    </row>
    <row r="465" spans="1:7" s="8" customFormat="1" x14ac:dyDescent="0.35">
      <c r="E465" s="9"/>
      <c r="F465" s="9"/>
      <c r="G465" s="9"/>
    </row>
    <row r="466" spans="1:7" s="8" customFormat="1" ht="15" thickBot="1" x14ac:dyDescent="0.4">
      <c r="A466" s="12" t="s">
        <v>2559</v>
      </c>
      <c r="B466" s="12" t="s">
        <v>2559</v>
      </c>
      <c r="E466" s="9"/>
      <c r="F466" s="9"/>
      <c r="G466" s="9"/>
    </row>
    <row r="467" spans="1:7" x14ac:dyDescent="0.35">
      <c r="B467" s="41" t="s">
        <v>2543</v>
      </c>
      <c r="C467" s="14" t="s">
        <v>554</v>
      </c>
      <c r="D467" s="14" t="s">
        <v>555</v>
      </c>
      <c r="E467" s="15">
        <v>0</v>
      </c>
      <c r="F467" s="15">
        <v>0</v>
      </c>
      <c r="G467" s="16">
        <f t="shared" si="32"/>
        <v>0</v>
      </c>
    </row>
    <row r="468" spans="1:7" x14ac:dyDescent="0.35">
      <c r="B468" s="42" t="s">
        <v>2543</v>
      </c>
      <c r="C468" s="5" t="s">
        <v>556</v>
      </c>
      <c r="D468" s="5" t="s">
        <v>557</v>
      </c>
      <c r="E468" s="3">
        <v>0</v>
      </c>
      <c r="F468" s="3">
        <v>0</v>
      </c>
      <c r="G468" s="18">
        <f t="shared" si="32"/>
        <v>0</v>
      </c>
    </row>
    <row r="469" spans="1:7" x14ac:dyDescent="0.35">
      <c r="B469" s="42" t="s">
        <v>2543</v>
      </c>
      <c r="C469" s="5" t="s">
        <v>558</v>
      </c>
      <c r="D469" s="5" t="s">
        <v>30</v>
      </c>
      <c r="E469" s="3">
        <v>0</v>
      </c>
      <c r="F469" s="3">
        <v>0</v>
      </c>
      <c r="G469" s="18">
        <f t="shared" si="32"/>
        <v>0</v>
      </c>
    </row>
    <row r="470" spans="1:7" x14ac:dyDescent="0.35">
      <c r="B470" s="42" t="s">
        <v>2543</v>
      </c>
      <c r="C470" s="5" t="s">
        <v>559</v>
      </c>
      <c r="D470" s="5" t="s">
        <v>32</v>
      </c>
      <c r="E470" s="3">
        <v>0</v>
      </c>
      <c r="F470" s="3">
        <v>0</v>
      </c>
      <c r="G470" s="18">
        <f t="shared" si="32"/>
        <v>0</v>
      </c>
    </row>
    <row r="471" spans="1:7" s="8" customFormat="1" x14ac:dyDescent="0.35">
      <c r="B471" s="33" t="s">
        <v>2545</v>
      </c>
      <c r="C471" s="5"/>
      <c r="D471" s="5"/>
      <c r="E471" s="10">
        <f>SUM(E467:E470)</f>
        <v>0</v>
      </c>
      <c r="F471" s="10">
        <f t="shared" ref="F471:G471" si="38">SUM(F467:F470)</f>
        <v>0</v>
      </c>
      <c r="G471" s="22">
        <f t="shared" si="38"/>
        <v>0</v>
      </c>
    </row>
    <row r="472" spans="1:7" s="8" customFormat="1" x14ac:dyDescent="0.35">
      <c r="B472" s="23"/>
      <c r="E472" s="9"/>
      <c r="F472" s="9"/>
      <c r="G472" s="21"/>
    </row>
    <row r="473" spans="1:7" x14ac:dyDescent="0.35">
      <c r="B473" s="32" t="s">
        <v>2544</v>
      </c>
      <c r="C473" s="5" t="s">
        <v>560</v>
      </c>
      <c r="D473" s="5" t="s">
        <v>38</v>
      </c>
      <c r="E473" s="3">
        <v>0</v>
      </c>
      <c r="F473" s="3">
        <v>0</v>
      </c>
      <c r="G473" s="18">
        <f t="shared" si="32"/>
        <v>0</v>
      </c>
    </row>
    <row r="474" spans="1:7" x14ac:dyDescent="0.35">
      <c r="B474" s="32" t="s">
        <v>2544</v>
      </c>
      <c r="C474" s="5" t="s">
        <v>561</v>
      </c>
      <c r="D474" s="5" t="s">
        <v>52</v>
      </c>
      <c r="E474" s="3">
        <v>0</v>
      </c>
      <c r="F474" s="3">
        <v>0</v>
      </c>
      <c r="G474" s="18">
        <f t="shared" si="32"/>
        <v>0</v>
      </c>
    </row>
    <row r="475" spans="1:7" x14ac:dyDescent="0.35">
      <c r="B475" s="32" t="s">
        <v>2544</v>
      </c>
      <c r="C475" s="5" t="s">
        <v>562</v>
      </c>
      <c r="D475" s="5" t="s">
        <v>64</v>
      </c>
      <c r="E475" s="3">
        <v>0</v>
      </c>
      <c r="F475" s="3">
        <v>0</v>
      </c>
      <c r="G475" s="18">
        <f t="shared" si="32"/>
        <v>0</v>
      </c>
    </row>
    <row r="476" spans="1:7" x14ac:dyDescent="0.35">
      <c r="B476" s="32" t="s">
        <v>2544</v>
      </c>
      <c r="C476" s="5" t="s">
        <v>563</v>
      </c>
      <c r="D476" s="5" t="s">
        <v>66</v>
      </c>
      <c r="E476" s="3">
        <v>0</v>
      </c>
      <c r="F476" s="3">
        <v>0</v>
      </c>
      <c r="G476" s="18">
        <f t="shared" si="32"/>
        <v>0</v>
      </c>
    </row>
    <row r="477" spans="1:7" x14ac:dyDescent="0.35">
      <c r="B477" s="32" t="s">
        <v>2544</v>
      </c>
      <c r="C477" s="5" t="s">
        <v>564</v>
      </c>
      <c r="D477" s="5" t="s">
        <v>68</v>
      </c>
      <c r="E477" s="3">
        <v>0</v>
      </c>
      <c r="F477" s="3">
        <v>0</v>
      </c>
      <c r="G477" s="18">
        <f t="shared" si="32"/>
        <v>0</v>
      </c>
    </row>
    <row r="478" spans="1:7" x14ac:dyDescent="0.35">
      <c r="B478" s="32" t="s">
        <v>2544</v>
      </c>
      <c r="C478" s="5" t="s">
        <v>565</v>
      </c>
      <c r="D478" s="5" t="s">
        <v>227</v>
      </c>
      <c r="E478" s="3">
        <v>0</v>
      </c>
      <c r="F478" s="3">
        <v>0</v>
      </c>
      <c r="G478" s="18">
        <f t="shared" ref="G478:G557" si="39">+F478/7*12</f>
        <v>0</v>
      </c>
    </row>
    <row r="479" spans="1:7" x14ac:dyDescent="0.35">
      <c r="B479" s="32" t="s">
        <v>2544</v>
      </c>
      <c r="C479" s="5" t="s">
        <v>566</v>
      </c>
      <c r="D479" s="5" t="s">
        <v>567</v>
      </c>
      <c r="E479" s="3">
        <v>0</v>
      </c>
      <c r="F479" s="3">
        <f>89719.21-33282.33</f>
        <v>56436.880000000005</v>
      </c>
      <c r="G479" s="18">
        <f t="shared" si="39"/>
        <v>96748.937142857147</v>
      </c>
    </row>
    <row r="480" spans="1:7" x14ac:dyDescent="0.35">
      <c r="B480" s="32" t="s">
        <v>2544</v>
      </c>
      <c r="C480" s="5" t="s">
        <v>568</v>
      </c>
      <c r="D480" s="5" t="s">
        <v>569</v>
      </c>
      <c r="E480" s="3">
        <v>30000</v>
      </c>
      <c r="F480" s="3">
        <f>19221.4-602.28</f>
        <v>18619.120000000003</v>
      </c>
      <c r="G480" s="18">
        <f t="shared" si="39"/>
        <v>31918.491428571433</v>
      </c>
    </row>
    <row r="481" spans="1:7" x14ac:dyDescent="0.35">
      <c r="B481" s="32" t="s">
        <v>2544</v>
      </c>
      <c r="C481" s="5" t="s">
        <v>570</v>
      </c>
      <c r="D481" s="5" t="s">
        <v>459</v>
      </c>
      <c r="E481" s="3">
        <v>0</v>
      </c>
      <c r="F481" s="3">
        <v>0</v>
      </c>
      <c r="G481" s="18">
        <f t="shared" si="39"/>
        <v>0</v>
      </c>
    </row>
    <row r="482" spans="1:7" x14ac:dyDescent="0.35">
      <c r="B482" s="32" t="s">
        <v>2544</v>
      </c>
      <c r="C482" s="5" t="s">
        <v>571</v>
      </c>
      <c r="D482" s="5" t="s">
        <v>572</v>
      </c>
      <c r="E482" s="3">
        <v>0</v>
      </c>
      <c r="F482" s="3">
        <v>0</v>
      </c>
      <c r="G482" s="18">
        <f t="shared" si="39"/>
        <v>0</v>
      </c>
    </row>
    <row r="483" spans="1:7" x14ac:dyDescent="0.35">
      <c r="B483" s="32" t="s">
        <v>2544</v>
      </c>
      <c r="C483" s="5" t="s">
        <v>573</v>
      </c>
      <c r="D483" s="5" t="s">
        <v>256</v>
      </c>
      <c r="E483" s="3">
        <v>0</v>
      </c>
      <c r="F483" s="3">
        <v>0</v>
      </c>
      <c r="G483" s="18">
        <f t="shared" si="39"/>
        <v>0</v>
      </c>
    </row>
    <row r="484" spans="1:7" x14ac:dyDescent="0.35">
      <c r="B484" s="32" t="s">
        <v>2544</v>
      </c>
      <c r="C484" s="5" t="s">
        <v>574</v>
      </c>
      <c r="D484" s="5" t="s">
        <v>120</v>
      </c>
      <c r="E484" s="3">
        <v>0</v>
      </c>
      <c r="F484" s="3">
        <v>0</v>
      </c>
      <c r="G484" s="18">
        <f t="shared" si="39"/>
        <v>0</v>
      </c>
    </row>
    <row r="485" spans="1:7" x14ac:dyDescent="0.35">
      <c r="B485" s="32" t="s">
        <v>2544</v>
      </c>
      <c r="C485" s="5" t="s">
        <v>575</v>
      </c>
      <c r="D485" s="5" t="s">
        <v>576</v>
      </c>
      <c r="E485" s="3">
        <v>0</v>
      </c>
      <c r="F485" s="3">
        <v>0</v>
      </c>
      <c r="G485" s="18">
        <f t="shared" si="39"/>
        <v>0</v>
      </c>
    </row>
    <row r="486" spans="1:7" x14ac:dyDescent="0.35">
      <c r="B486" s="32" t="s">
        <v>2544</v>
      </c>
      <c r="C486" s="5" t="s">
        <v>577</v>
      </c>
      <c r="D486" s="5" t="s">
        <v>368</v>
      </c>
      <c r="E486" s="3">
        <v>0</v>
      </c>
      <c r="F486" s="3">
        <v>0</v>
      </c>
      <c r="G486" s="18">
        <f t="shared" si="39"/>
        <v>0</v>
      </c>
    </row>
    <row r="487" spans="1:7" x14ac:dyDescent="0.35">
      <c r="B487" s="32" t="s">
        <v>2544</v>
      </c>
      <c r="C487" s="6" t="s">
        <v>578</v>
      </c>
      <c r="D487" s="6" t="s">
        <v>124</v>
      </c>
      <c r="E487" s="7">
        <v>0</v>
      </c>
      <c r="F487" s="7">
        <v>0</v>
      </c>
      <c r="G487" s="43">
        <f t="shared" si="39"/>
        <v>0</v>
      </c>
    </row>
    <row r="488" spans="1:7" s="8" customFormat="1" x14ac:dyDescent="0.35">
      <c r="B488" s="33" t="s">
        <v>2546</v>
      </c>
      <c r="C488" s="5"/>
      <c r="D488" s="5"/>
      <c r="E488" s="10">
        <f>SUM(E473:E487)</f>
        <v>30000</v>
      </c>
      <c r="F488" s="10">
        <f t="shared" ref="F488:G488" si="40">SUM(F473:F487)</f>
        <v>75056</v>
      </c>
      <c r="G488" s="22">
        <f t="shared" si="40"/>
        <v>128667.42857142858</v>
      </c>
    </row>
    <row r="489" spans="1:7" s="8" customFormat="1" ht="9.75" customHeight="1" x14ac:dyDescent="0.35">
      <c r="B489" s="23"/>
      <c r="E489" s="39"/>
      <c r="F489" s="39"/>
      <c r="G489" s="40"/>
    </row>
    <row r="490" spans="1:7" s="8" customFormat="1" ht="15" thickBot="1" x14ac:dyDescent="0.4">
      <c r="B490" s="35" t="s">
        <v>2548</v>
      </c>
      <c r="C490" s="25"/>
      <c r="D490" s="25"/>
      <c r="E490" s="26">
        <f>+E471+E488</f>
        <v>30000</v>
      </c>
      <c r="F490" s="26">
        <f t="shared" ref="F490:G490" si="41">+F471+F488</f>
        <v>75056</v>
      </c>
      <c r="G490" s="27">
        <f t="shared" si="41"/>
        <v>128667.42857142858</v>
      </c>
    </row>
    <row r="491" spans="1:7" s="8" customFormat="1" x14ac:dyDescent="0.35">
      <c r="E491" s="9"/>
      <c r="F491" s="9"/>
      <c r="G491" s="9"/>
    </row>
    <row r="492" spans="1:7" s="8" customFormat="1" x14ac:dyDescent="0.35">
      <c r="E492" s="9"/>
      <c r="F492" s="9"/>
      <c r="G492" s="9"/>
    </row>
    <row r="493" spans="1:7" s="8" customFormat="1" ht="15" thickBot="1" x14ac:dyDescent="0.4">
      <c r="A493" s="12" t="s">
        <v>2590</v>
      </c>
      <c r="B493" s="12" t="s">
        <v>2560</v>
      </c>
      <c r="E493" s="9"/>
      <c r="F493" s="9"/>
      <c r="G493" s="9"/>
    </row>
    <row r="494" spans="1:7" x14ac:dyDescent="0.35">
      <c r="B494" s="41" t="s">
        <v>2543</v>
      </c>
      <c r="C494" s="14" t="s">
        <v>579</v>
      </c>
      <c r="D494" s="14" t="s">
        <v>281</v>
      </c>
      <c r="E494" s="15">
        <v>0</v>
      </c>
      <c r="F494" s="15">
        <v>0</v>
      </c>
      <c r="G494" s="16">
        <f t="shared" si="39"/>
        <v>0</v>
      </c>
    </row>
    <row r="495" spans="1:7" x14ac:dyDescent="0.35">
      <c r="B495" s="42" t="s">
        <v>2543</v>
      </c>
      <c r="C495" s="5" t="s">
        <v>580</v>
      </c>
      <c r="D495" s="5" t="s">
        <v>126</v>
      </c>
      <c r="E495" s="3">
        <v>0</v>
      </c>
      <c r="F495" s="3">
        <f>206.9-456</f>
        <v>-249.1</v>
      </c>
      <c r="G495" s="18">
        <f t="shared" si="39"/>
        <v>-427.02857142857135</v>
      </c>
    </row>
    <row r="496" spans="1:7" x14ac:dyDescent="0.35">
      <c r="B496" s="42" t="s">
        <v>2543</v>
      </c>
      <c r="C496" s="5" t="s">
        <v>581</v>
      </c>
      <c r="D496" s="5" t="s">
        <v>145</v>
      </c>
      <c r="E496" s="3">
        <v>0</v>
      </c>
      <c r="F496" s="3">
        <v>0</v>
      </c>
      <c r="G496" s="18">
        <f t="shared" si="39"/>
        <v>0</v>
      </c>
    </row>
    <row r="497" spans="2:7" x14ac:dyDescent="0.35">
      <c r="B497" s="42" t="s">
        <v>2543</v>
      </c>
      <c r="C497" s="5" t="s">
        <v>582</v>
      </c>
      <c r="D497" s="5" t="s">
        <v>371</v>
      </c>
      <c r="E497" s="3">
        <v>0</v>
      </c>
      <c r="F497" s="3">
        <v>0</v>
      </c>
      <c r="G497" s="18">
        <f t="shared" si="39"/>
        <v>0</v>
      </c>
    </row>
    <row r="498" spans="2:7" x14ac:dyDescent="0.35">
      <c r="B498" s="42" t="s">
        <v>2543</v>
      </c>
      <c r="C498" s="5" t="s">
        <v>583</v>
      </c>
      <c r="D498" s="5" t="s">
        <v>584</v>
      </c>
      <c r="E498" s="3">
        <v>0</v>
      </c>
      <c r="F498" s="3">
        <v>0</v>
      </c>
      <c r="G498" s="18">
        <f t="shared" si="39"/>
        <v>0</v>
      </c>
    </row>
    <row r="499" spans="2:7" x14ac:dyDescent="0.35">
      <c r="B499" s="42" t="s">
        <v>2543</v>
      </c>
      <c r="C499" s="5" t="s">
        <v>585</v>
      </c>
      <c r="D499" s="5" t="s">
        <v>163</v>
      </c>
      <c r="E499" s="3">
        <v>0</v>
      </c>
      <c r="F499" s="3">
        <v>0</v>
      </c>
      <c r="G499" s="18">
        <f t="shared" si="39"/>
        <v>0</v>
      </c>
    </row>
    <row r="500" spans="2:7" x14ac:dyDescent="0.35">
      <c r="B500" s="42" t="s">
        <v>2543</v>
      </c>
      <c r="C500" s="5" t="s">
        <v>586</v>
      </c>
      <c r="D500" s="5" t="s">
        <v>30</v>
      </c>
      <c r="E500" s="3">
        <v>0</v>
      </c>
      <c r="F500" s="3">
        <v>0</v>
      </c>
      <c r="G500" s="18">
        <f t="shared" si="39"/>
        <v>0</v>
      </c>
    </row>
    <row r="501" spans="2:7" x14ac:dyDescent="0.35">
      <c r="B501" s="42" t="s">
        <v>2543</v>
      </c>
      <c r="C501" s="5" t="s">
        <v>587</v>
      </c>
      <c r="D501" s="5" t="s">
        <v>32</v>
      </c>
      <c r="E501" s="3">
        <v>0</v>
      </c>
      <c r="F501" s="3">
        <v>0</v>
      </c>
      <c r="G501" s="18">
        <f t="shared" si="39"/>
        <v>0</v>
      </c>
    </row>
    <row r="502" spans="2:7" s="8" customFormat="1" x14ac:dyDescent="0.35">
      <c r="B502" s="33" t="s">
        <v>2545</v>
      </c>
      <c r="C502" s="5"/>
      <c r="D502" s="5"/>
      <c r="E502" s="10">
        <f>SUM(E494:E501)</f>
        <v>0</v>
      </c>
      <c r="F502" s="10">
        <f t="shared" ref="F502:G502" si="42">SUM(F494:F501)</f>
        <v>-249.1</v>
      </c>
      <c r="G502" s="22">
        <f t="shared" si="42"/>
        <v>-427.02857142857135</v>
      </c>
    </row>
    <row r="503" spans="2:7" s="8" customFormat="1" x14ac:dyDescent="0.35">
      <c r="B503" s="23"/>
      <c r="E503" s="9"/>
      <c r="F503" s="9"/>
      <c r="G503" s="21"/>
    </row>
    <row r="504" spans="2:7" x14ac:dyDescent="0.35">
      <c r="B504" s="32" t="s">
        <v>2544</v>
      </c>
      <c r="C504" s="5" t="s">
        <v>588</v>
      </c>
      <c r="D504" s="5" t="s">
        <v>34</v>
      </c>
      <c r="E504" s="3">
        <v>0</v>
      </c>
      <c r="F504" s="3">
        <v>0</v>
      </c>
      <c r="G504" s="18">
        <f t="shared" si="39"/>
        <v>0</v>
      </c>
    </row>
    <row r="505" spans="2:7" x14ac:dyDescent="0.35">
      <c r="B505" s="32" t="s">
        <v>2544</v>
      </c>
      <c r="C505" s="5" t="s">
        <v>589</v>
      </c>
      <c r="D505" s="5" t="s">
        <v>38</v>
      </c>
      <c r="E505" s="3">
        <v>0</v>
      </c>
      <c r="F505" s="3">
        <v>0</v>
      </c>
      <c r="G505" s="18">
        <f t="shared" si="39"/>
        <v>0</v>
      </c>
    </row>
    <row r="506" spans="2:7" x14ac:dyDescent="0.35">
      <c r="B506" s="32" t="s">
        <v>2544</v>
      </c>
      <c r="C506" s="5" t="s">
        <v>590</v>
      </c>
      <c r="D506" s="5" t="s">
        <v>52</v>
      </c>
      <c r="E506" s="3">
        <v>0</v>
      </c>
      <c r="F506" s="3">
        <v>0</v>
      </c>
      <c r="G506" s="18">
        <f t="shared" si="39"/>
        <v>0</v>
      </c>
    </row>
    <row r="507" spans="2:7" x14ac:dyDescent="0.35">
      <c r="B507" s="32" t="s">
        <v>2544</v>
      </c>
      <c r="C507" s="5" t="s">
        <v>591</v>
      </c>
      <c r="D507" s="5" t="s">
        <v>64</v>
      </c>
      <c r="E507" s="3">
        <v>0</v>
      </c>
      <c r="F507" s="3">
        <v>0</v>
      </c>
      <c r="G507" s="18">
        <f t="shared" si="39"/>
        <v>0</v>
      </c>
    </row>
    <row r="508" spans="2:7" x14ac:dyDescent="0.35">
      <c r="B508" s="32" t="s">
        <v>2544</v>
      </c>
      <c r="C508" s="5" t="s">
        <v>592</v>
      </c>
      <c r="D508" s="5" t="s">
        <v>66</v>
      </c>
      <c r="E508" s="3">
        <v>0</v>
      </c>
      <c r="F508" s="3">
        <v>0</v>
      </c>
      <c r="G508" s="18">
        <f t="shared" si="39"/>
        <v>0</v>
      </c>
    </row>
    <row r="509" spans="2:7" x14ac:dyDescent="0.35">
      <c r="B509" s="32" t="s">
        <v>2544</v>
      </c>
      <c r="C509" s="5" t="s">
        <v>593</v>
      </c>
      <c r="D509" s="5" t="s">
        <v>68</v>
      </c>
      <c r="E509" s="3">
        <v>0</v>
      </c>
      <c r="F509" s="3">
        <v>0</v>
      </c>
      <c r="G509" s="18">
        <f t="shared" si="39"/>
        <v>0</v>
      </c>
    </row>
    <row r="510" spans="2:7" x14ac:dyDescent="0.35">
      <c r="B510" s="32" t="s">
        <v>2544</v>
      </c>
      <c r="C510" s="5" t="s">
        <v>594</v>
      </c>
      <c r="D510" s="5" t="s">
        <v>595</v>
      </c>
      <c r="E510" s="3">
        <v>0</v>
      </c>
      <c r="F510" s="3">
        <v>0</v>
      </c>
      <c r="G510" s="18">
        <f t="shared" si="39"/>
        <v>0</v>
      </c>
    </row>
    <row r="511" spans="2:7" x14ac:dyDescent="0.35">
      <c r="B511" s="32" t="s">
        <v>2544</v>
      </c>
      <c r="C511" s="5" t="s">
        <v>596</v>
      </c>
      <c r="D511" s="5" t="s">
        <v>597</v>
      </c>
      <c r="E511" s="3">
        <v>30000</v>
      </c>
      <c r="F511" s="3">
        <v>0</v>
      </c>
      <c r="G511" s="18">
        <f t="shared" si="39"/>
        <v>0</v>
      </c>
    </row>
    <row r="512" spans="2:7" x14ac:dyDescent="0.35">
      <c r="B512" s="32" t="s">
        <v>2544</v>
      </c>
      <c r="C512" s="5" t="s">
        <v>598</v>
      </c>
      <c r="D512" s="5" t="s">
        <v>599</v>
      </c>
      <c r="E512" s="3">
        <v>0</v>
      </c>
      <c r="F512" s="3">
        <v>0</v>
      </c>
      <c r="G512" s="18">
        <f t="shared" si="39"/>
        <v>0</v>
      </c>
    </row>
    <row r="513" spans="2:7" x14ac:dyDescent="0.35">
      <c r="B513" s="32" t="s">
        <v>2544</v>
      </c>
      <c r="C513" s="5" t="s">
        <v>600</v>
      </c>
      <c r="D513" s="5" t="s">
        <v>601</v>
      </c>
      <c r="E513" s="3">
        <v>30000</v>
      </c>
      <c r="F513" s="3">
        <v>0</v>
      </c>
      <c r="G513" s="18">
        <f t="shared" si="39"/>
        <v>0</v>
      </c>
    </row>
    <row r="514" spans="2:7" x14ac:dyDescent="0.35">
      <c r="B514" s="32" t="s">
        <v>2544</v>
      </c>
      <c r="C514" s="5" t="s">
        <v>602</v>
      </c>
      <c r="D514" s="5" t="s">
        <v>603</v>
      </c>
      <c r="E514" s="3">
        <v>15000</v>
      </c>
      <c r="F514" s="3">
        <v>0</v>
      </c>
      <c r="G514" s="18">
        <f t="shared" si="39"/>
        <v>0</v>
      </c>
    </row>
    <row r="515" spans="2:7" x14ac:dyDescent="0.35">
      <c r="B515" s="32" t="s">
        <v>2544</v>
      </c>
      <c r="C515" s="5" t="s">
        <v>604</v>
      </c>
      <c r="D515" s="5" t="s">
        <v>605</v>
      </c>
      <c r="E515" s="3">
        <v>0</v>
      </c>
      <c r="F515" s="3">
        <v>0</v>
      </c>
      <c r="G515" s="18">
        <f t="shared" si="39"/>
        <v>0</v>
      </c>
    </row>
    <row r="516" spans="2:7" x14ac:dyDescent="0.35">
      <c r="B516" s="32" t="s">
        <v>2544</v>
      </c>
      <c r="C516" s="5" t="s">
        <v>606</v>
      </c>
      <c r="D516" s="5" t="s">
        <v>92</v>
      </c>
      <c r="E516" s="3">
        <v>0</v>
      </c>
      <c r="F516" s="3">
        <v>0</v>
      </c>
      <c r="G516" s="18">
        <f t="shared" si="39"/>
        <v>0</v>
      </c>
    </row>
    <row r="517" spans="2:7" x14ac:dyDescent="0.35">
      <c r="B517" s="32" t="s">
        <v>2544</v>
      </c>
      <c r="C517" s="5" t="s">
        <v>607</v>
      </c>
      <c r="D517" s="5" t="s">
        <v>94</v>
      </c>
      <c r="E517" s="3">
        <v>0</v>
      </c>
      <c r="F517" s="3">
        <v>0</v>
      </c>
      <c r="G517" s="18">
        <f t="shared" si="39"/>
        <v>0</v>
      </c>
    </row>
    <row r="518" spans="2:7" x14ac:dyDescent="0.35">
      <c r="B518" s="32" t="s">
        <v>2544</v>
      </c>
      <c r="C518" s="5" t="s">
        <v>608</v>
      </c>
      <c r="D518" s="5" t="s">
        <v>344</v>
      </c>
      <c r="E518" s="3">
        <v>0</v>
      </c>
      <c r="F518" s="3">
        <v>0</v>
      </c>
      <c r="G518" s="18">
        <f t="shared" si="39"/>
        <v>0</v>
      </c>
    </row>
    <row r="519" spans="2:7" x14ac:dyDescent="0.35">
      <c r="B519" s="32" t="s">
        <v>2544</v>
      </c>
      <c r="C519" s="5" t="s">
        <v>609</v>
      </c>
      <c r="D519" s="5" t="s">
        <v>223</v>
      </c>
      <c r="E519" s="3">
        <v>0</v>
      </c>
      <c r="F519" s="3">
        <v>0</v>
      </c>
      <c r="G519" s="18">
        <f t="shared" si="39"/>
        <v>0</v>
      </c>
    </row>
    <row r="520" spans="2:7" x14ac:dyDescent="0.35">
      <c r="B520" s="32" t="s">
        <v>2544</v>
      </c>
      <c r="C520" s="5" t="s">
        <v>610</v>
      </c>
      <c r="D520" s="5" t="s">
        <v>351</v>
      </c>
      <c r="E520" s="3">
        <v>0</v>
      </c>
      <c r="F520" s="3">
        <v>0</v>
      </c>
      <c r="G520" s="18">
        <f t="shared" si="39"/>
        <v>0</v>
      </c>
    </row>
    <row r="521" spans="2:7" x14ac:dyDescent="0.35">
      <c r="B521" s="32" t="s">
        <v>2544</v>
      </c>
      <c r="C521" s="5" t="s">
        <v>611</v>
      </c>
      <c r="D521" s="5" t="s">
        <v>98</v>
      </c>
      <c r="E521" s="3">
        <v>0</v>
      </c>
      <c r="F521" s="3">
        <v>16748.7</v>
      </c>
      <c r="G521" s="18">
        <f t="shared" si="39"/>
        <v>28712.057142857146</v>
      </c>
    </row>
    <row r="522" spans="2:7" x14ac:dyDescent="0.35">
      <c r="B522" s="32" t="s">
        <v>2544</v>
      </c>
      <c r="C522" s="5" t="s">
        <v>612</v>
      </c>
      <c r="D522" s="5" t="s">
        <v>613</v>
      </c>
      <c r="E522" s="3">
        <v>0</v>
      </c>
      <c r="F522" s="3">
        <v>0</v>
      </c>
      <c r="G522" s="18">
        <f t="shared" si="39"/>
        <v>0</v>
      </c>
    </row>
    <row r="523" spans="2:7" x14ac:dyDescent="0.35">
      <c r="B523" s="32" t="s">
        <v>2544</v>
      </c>
      <c r="C523" s="5" t="s">
        <v>614</v>
      </c>
      <c r="D523" s="5" t="s">
        <v>615</v>
      </c>
      <c r="E523" s="3">
        <v>0</v>
      </c>
      <c r="F523" s="3">
        <v>0</v>
      </c>
      <c r="G523" s="18">
        <f t="shared" si="39"/>
        <v>0</v>
      </c>
    </row>
    <row r="524" spans="2:7" x14ac:dyDescent="0.35">
      <c r="B524" s="32" t="s">
        <v>2544</v>
      </c>
      <c r="C524" s="5" t="s">
        <v>616</v>
      </c>
      <c r="D524" s="5" t="s">
        <v>617</v>
      </c>
      <c r="E524" s="3">
        <v>0</v>
      </c>
      <c r="F524" s="3">
        <v>0</v>
      </c>
      <c r="G524" s="18">
        <f t="shared" si="39"/>
        <v>0</v>
      </c>
    </row>
    <row r="525" spans="2:7" x14ac:dyDescent="0.35">
      <c r="B525" s="32" t="s">
        <v>2544</v>
      </c>
      <c r="C525" s="5" t="s">
        <v>618</v>
      </c>
      <c r="D525" s="5" t="s">
        <v>619</v>
      </c>
      <c r="E525" s="3">
        <v>0</v>
      </c>
      <c r="F525" s="3">
        <v>0</v>
      </c>
      <c r="G525" s="18">
        <f t="shared" si="39"/>
        <v>0</v>
      </c>
    </row>
    <row r="526" spans="2:7" x14ac:dyDescent="0.35">
      <c r="B526" s="32" t="s">
        <v>2544</v>
      </c>
      <c r="C526" s="5" t="s">
        <v>620</v>
      </c>
      <c r="D526" s="5" t="s">
        <v>621</v>
      </c>
      <c r="E526" s="3">
        <v>0</v>
      </c>
      <c r="F526" s="3">
        <v>0</v>
      </c>
      <c r="G526" s="18">
        <f t="shared" si="39"/>
        <v>0</v>
      </c>
    </row>
    <row r="527" spans="2:7" x14ac:dyDescent="0.35">
      <c r="B527" s="32" t="s">
        <v>2544</v>
      </c>
      <c r="C527" s="5" t="s">
        <v>622</v>
      </c>
      <c r="D527" s="5" t="s">
        <v>303</v>
      </c>
      <c r="E527" s="3">
        <v>0</v>
      </c>
      <c r="F527" s="3">
        <v>0</v>
      </c>
      <c r="G527" s="18">
        <f t="shared" si="39"/>
        <v>0</v>
      </c>
    </row>
    <row r="528" spans="2:7" x14ac:dyDescent="0.35">
      <c r="B528" s="32" t="s">
        <v>2544</v>
      </c>
      <c r="C528" s="5" t="s">
        <v>623</v>
      </c>
      <c r="D528" s="5" t="s">
        <v>624</v>
      </c>
      <c r="E528" s="3">
        <v>0</v>
      </c>
      <c r="F528" s="3">
        <v>285</v>
      </c>
      <c r="G528" s="18">
        <f t="shared" si="39"/>
        <v>488.57142857142856</v>
      </c>
    </row>
    <row r="529" spans="2:7" x14ac:dyDescent="0.35">
      <c r="B529" s="32" t="s">
        <v>2544</v>
      </c>
      <c r="C529" s="5" t="s">
        <v>625</v>
      </c>
      <c r="D529" s="5" t="s">
        <v>626</v>
      </c>
      <c r="E529" s="3">
        <v>0</v>
      </c>
      <c r="F529" s="3">
        <v>0</v>
      </c>
      <c r="G529" s="18">
        <f t="shared" si="39"/>
        <v>0</v>
      </c>
    </row>
    <row r="530" spans="2:7" x14ac:dyDescent="0.35">
      <c r="B530" s="32" t="s">
        <v>2544</v>
      </c>
      <c r="C530" s="5" t="s">
        <v>627</v>
      </c>
      <c r="D530" s="5" t="s">
        <v>628</v>
      </c>
      <c r="E530" s="3">
        <v>0</v>
      </c>
      <c r="F530" s="3">
        <v>0</v>
      </c>
      <c r="G530" s="18">
        <f t="shared" si="39"/>
        <v>0</v>
      </c>
    </row>
    <row r="531" spans="2:7" x14ac:dyDescent="0.35">
      <c r="B531" s="32" t="s">
        <v>2544</v>
      </c>
      <c r="C531" s="5" t="s">
        <v>629</v>
      </c>
      <c r="D531" s="5" t="s">
        <v>630</v>
      </c>
      <c r="E531" s="3">
        <v>0</v>
      </c>
      <c r="F531" s="3">
        <v>0</v>
      </c>
      <c r="G531" s="18">
        <f t="shared" si="39"/>
        <v>0</v>
      </c>
    </row>
    <row r="532" spans="2:7" x14ac:dyDescent="0.35">
      <c r="B532" s="32" t="s">
        <v>2544</v>
      </c>
      <c r="C532" s="5" t="s">
        <v>631</v>
      </c>
      <c r="D532" s="5" t="s">
        <v>632</v>
      </c>
      <c r="E532" s="3">
        <v>0</v>
      </c>
      <c r="F532" s="3">
        <v>0</v>
      </c>
      <c r="G532" s="18">
        <f t="shared" si="39"/>
        <v>0</v>
      </c>
    </row>
    <row r="533" spans="2:7" x14ac:dyDescent="0.35">
      <c r="B533" s="32" t="s">
        <v>2544</v>
      </c>
      <c r="C533" s="5" t="s">
        <v>633</v>
      </c>
      <c r="D533" s="5" t="s">
        <v>634</v>
      </c>
      <c r="E533" s="3">
        <v>0</v>
      </c>
      <c r="F533" s="3">
        <v>0</v>
      </c>
      <c r="G533" s="18">
        <f t="shared" si="39"/>
        <v>0</v>
      </c>
    </row>
    <row r="534" spans="2:7" x14ac:dyDescent="0.35">
      <c r="B534" s="32" t="s">
        <v>2544</v>
      </c>
      <c r="C534" s="5" t="s">
        <v>635</v>
      </c>
      <c r="D534" s="5" t="s">
        <v>636</v>
      </c>
      <c r="E534" s="3">
        <v>0</v>
      </c>
      <c r="F534" s="3">
        <v>0</v>
      </c>
      <c r="G534" s="18">
        <f t="shared" si="39"/>
        <v>0</v>
      </c>
    </row>
    <row r="535" spans="2:7" x14ac:dyDescent="0.35">
      <c r="B535" s="32" t="s">
        <v>2544</v>
      </c>
      <c r="C535" s="5" t="s">
        <v>637</v>
      </c>
      <c r="D535" s="5" t="s">
        <v>638</v>
      </c>
      <c r="E535" s="3">
        <v>0</v>
      </c>
      <c r="F535" s="3">
        <v>0</v>
      </c>
      <c r="G535" s="18">
        <f t="shared" si="39"/>
        <v>0</v>
      </c>
    </row>
    <row r="536" spans="2:7" x14ac:dyDescent="0.35">
      <c r="B536" s="32" t="s">
        <v>2544</v>
      </c>
      <c r="C536" s="5" t="s">
        <v>639</v>
      </c>
      <c r="D536" s="5" t="s">
        <v>640</v>
      </c>
      <c r="E536" s="3">
        <v>0</v>
      </c>
      <c r="F536" s="3">
        <v>0</v>
      </c>
      <c r="G536" s="18">
        <f t="shared" si="39"/>
        <v>0</v>
      </c>
    </row>
    <row r="537" spans="2:7" x14ac:dyDescent="0.35">
      <c r="B537" s="32" t="s">
        <v>2544</v>
      </c>
      <c r="C537" s="5" t="s">
        <v>641</v>
      </c>
      <c r="D537" s="5" t="s">
        <v>120</v>
      </c>
      <c r="E537" s="3">
        <v>0</v>
      </c>
      <c r="F537" s="3">
        <v>0</v>
      </c>
      <c r="G537" s="18">
        <f t="shared" si="39"/>
        <v>0</v>
      </c>
    </row>
    <row r="538" spans="2:7" x14ac:dyDescent="0.35">
      <c r="B538" s="32" t="s">
        <v>2544</v>
      </c>
      <c r="C538" s="5" t="s">
        <v>642</v>
      </c>
      <c r="D538" s="5" t="s">
        <v>122</v>
      </c>
      <c r="E538" s="3">
        <v>0</v>
      </c>
      <c r="F538" s="3">
        <v>0</v>
      </c>
      <c r="G538" s="18">
        <f t="shared" si="39"/>
        <v>0</v>
      </c>
    </row>
    <row r="539" spans="2:7" x14ac:dyDescent="0.35">
      <c r="B539" s="32" t="s">
        <v>2544</v>
      </c>
      <c r="C539" s="5" t="s">
        <v>643</v>
      </c>
      <c r="D539" s="5" t="s">
        <v>124</v>
      </c>
      <c r="E539" s="3">
        <v>0</v>
      </c>
      <c r="F539" s="3">
        <v>0</v>
      </c>
      <c r="G539" s="18">
        <f t="shared" si="39"/>
        <v>0</v>
      </c>
    </row>
    <row r="540" spans="2:7" s="8" customFormat="1" x14ac:dyDescent="0.35">
      <c r="B540" s="33" t="s">
        <v>2546</v>
      </c>
      <c r="C540" s="5"/>
      <c r="D540" s="5"/>
      <c r="E540" s="10">
        <f>SUM(E504:E539)</f>
        <v>75000</v>
      </c>
      <c r="F540" s="10">
        <f t="shared" ref="F540:G540" si="43">SUM(F504:F539)</f>
        <v>17033.7</v>
      </c>
      <c r="G540" s="22">
        <f t="shared" si="43"/>
        <v>29200.628571428573</v>
      </c>
    </row>
    <row r="541" spans="2:7" s="8" customFormat="1" ht="9" customHeight="1" x14ac:dyDescent="0.35">
      <c r="B541" s="23"/>
      <c r="E541" s="39"/>
      <c r="F541" s="39"/>
      <c r="G541" s="40"/>
    </row>
    <row r="542" spans="2:7" s="8" customFormat="1" ht="15" thickBot="1" x14ac:dyDescent="0.4">
      <c r="B542" s="35" t="s">
        <v>2548</v>
      </c>
      <c r="C542" s="25"/>
      <c r="D542" s="25"/>
      <c r="E542" s="26">
        <f>+E502+E540</f>
        <v>75000</v>
      </c>
      <c r="F542" s="26">
        <f t="shared" ref="F542:G542" si="44">+F502+F540</f>
        <v>16784.600000000002</v>
      </c>
      <c r="G542" s="27">
        <f t="shared" si="44"/>
        <v>28773.600000000002</v>
      </c>
    </row>
    <row r="543" spans="2:7" s="8" customFormat="1" x14ac:dyDescent="0.35">
      <c r="E543" s="9"/>
      <c r="F543" s="9"/>
      <c r="G543" s="9"/>
    </row>
    <row r="544" spans="2:7" s="8" customFormat="1" x14ac:dyDescent="0.35">
      <c r="E544" s="9"/>
      <c r="F544" s="9"/>
      <c r="G544" s="9"/>
    </row>
    <row r="545" spans="1:7" s="8" customFormat="1" ht="15" thickBot="1" x14ac:dyDescent="0.4">
      <c r="A545" s="12" t="s">
        <v>2591</v>
      </c>
      <c r="B545" s="28" t="s">
        <v>2561</v>
      </c>
      <c r="E545" s="9"/>
      <c r="F545" s="9"/>
      <c r="G545" s="9"/>
    </row>
    <row r="546" spans="1:7" x14ac:dyDescent="0.35">
      <c r="B546" s="31" t="s">
        <v>2543</v>
      </c>
      <c r="C546" s="14" t="s">
        <v>644</v>
      </c>
      <c r="D546" s="14" t="s">
        <v>126</v>
      </c>
      <c r="E546" s="15">
        <v>0</v>
      </c>
      <c r="F546" s="15">
        <v>0</v>
      </c>
      <c r="G546" s="16">
        <f t="shared" si="39"/>
        <v>0</v>
      </c>
    </row>
    <row r="547" spans="1:7" x14ac:dyDescent="0.35">
      <c r="B547" s="32" t="s">
        <v>2543</v>
      </c>
      <c r="C547" s="5" t="s">
        <v>645</v>
      </c>
      <c r="D547" s="5" t="s">
        <v>30</v>
      </c>
      <c r="E547" s="3">
        <v>0</v>
      </c>
      <c r="F547" s="3">
        <v>0</v>
      </c>
      <c r="G547" s="18">
        <f t="shared" si="39"/>
        <v>0</v>
      </c>
    </row>
    <row r="548" spans="1:7" x14ac:dyDescent="0.35">
      <c r="B548" s="32" t="s">
        <v>2543</v>
      </c>
      <c r="C548" s="5" t="s">
        <v>646</v>
      </c>
      <c r="D548" s="5" t="s">
        <v>32</v>
      </c>
      <c r="E548" s="3">
        <v>0</v>
      </c>
      <c r="F548" s="3">
        <v>0</v>
      </c>
      <c r="G548" s="18">
        <f t="shared" si="39"/>
        <v>0</v>
      </c>
    </row>
    <row r="549" spans="1:7" s="8" customFormat="1" x14ac:dyDescent="0.35">
      <c r="B549" s="33" t="s">
        <v>2545</v>
      </c>
      <c r="C549" s="5"/>
      <c r="D549" s="5"/>
      <c r="E549" s="10">
        <f>SUM(E546:E548)</f>
        <v>0</v>
      </c>
      <c r="F549" s="10">
        <f t="shared" ref="F549:G549" si="45">SUM(F546:F548)</f>
        <v>0</v>
      </c>
      <c r="G549" s="22">
        <f t="shared" si="45"/>
        <v>0</v>
      </c>
    </row>
    <row r="550" spans="1:7" s="8" customFormat="1" x14ac:dyDescent="0.35">
      <c r="B550" s="23"/>
      <c r="E550" s="9"/>
      <c r="F550" s="9"/>
      <c r="G550" s="21"/>
    </row>
    <row r="551" spans="1:7" x14ac:dyDescent="0.35">
      <c r="B551" s="32" t="s">
        <v>2544</v>
      </c>
      <c r="C551" s="5" t="s">
        <v>647</v>
      </c>
      <c r="D551" s="5" t="s">
        <v>34</v>
      </c>
      <c r="E551" s="3">
        <v>915509</v>
      </c>
      <c r="F551" s="3">
        <f>878752.06-3408.41</f>
        <v>875343.65</v>
      </c>
      <c r="G551" s="18">
        <f t="shared" si="39"/>
        <v>1500589.1142857145</v>
      </c>
    </row>
    <row r="552" spans="1:7" x14ac:dyDescent="0.35">
      <c r="B552" s="32" t="s">
        <v>2544</v>
      </c>
      <c r="C552" s="5" t="s">
        <v>648</v>
      </c>
      <c r="D552" s="5" t="s">
        <v>36</v>
      </c>
      <c r="E552" s="3">
        <v>76292</v>
      </c>
      <c r="F552" s="3">
        <v>138506.67000000001</v>
      </c>
      <c r="G552" s="18">
        <f t="shared" si="39"/>
        <v>237440.00571428577</v>
      </c>
    </row>
    <row r="553" spans="1:7" x14ac:dyDescent="0.35">
      <c r="B553" s="32" t="s">
        <v>2544</v>
      </c>
      <c r="C553" s="5" t="s">
        <v>649</v>
      </c>
      <c r="D553" s="5" t="s">
        <v>38</v>
      </c>
      <c r="E553" s="3">
        <v>93975</v>
      </c>
      <c r="F553" s="3">
        <v>47932.13</v>
      </c>
      <c r="G553" s="18">
        <f t="shared" si="39"/>
        <v>82169.365714285712</v>
      </c>
    </row>
    <row r="554" spans="1:7" x14ac:dyDescent="0.35">
      <c r="B554" s="32" t="s">
        <v>2544</v>
      </c>
      <c r="C554" s="5" t="s">
        <v>650</v>
      </c>
      <c r="D554" s="5" t="s">
        <v>40</v>
      </c>
      <c r="E554" s="3">
        <v>0</v>
      </c>
      <c r="F554" s="3">
        <v>0</v>
      </c>
      <c r="G554" s="18">
        <f t="shared" si="39"/>
        <v>0</v>
      </c>
    </row>
    <row r="555" spans="1:7" x14ac:dyDescent="0.35">
      <c r="B555" s="32" t="s">
        <v>2544</v>
      </c>
      <c r="C555" s="5" t="s">
        <v>651</v>
      </c>
      <c r="D555" s="5" t="s">
        <v>526</v>
      </c>
      <c r="E555" s="3">
        <v>39512</v>
      </c>
      <c r="F555" s="3">
        <v>18543.27</v>
      </c>
      <c r="G555" s="18">
        <f t="shared" si="39"/>
        <v>31788.462857142862</v>
      </c>
    </row>
    <row r="556" spans="1:7" x14ac:dyDescent="0.35">
      <c r="B556" s="32" t="s">
        <v>2544</v>
      </c>
      <c r="C556" s="5" t="s">
        <v>652</v>
      </c>
      <c r="D556" s="5" t="s">
        <v>197</v>
      </c>
      <c r="E556" s="3">
        <v>0</v>
      </c>
      <c r="F556" s="3">
        <v>0</v>
      </c>
      <c r="G556" s="18">
        <f t="shared" si="39"/>
        <v>0</v>
      </c>
    </row>
    <row r="557" spans="1:7" x14ac:dyDescent="0.35">
      <c r="B557" s="32" t="s">
        <v>2544</v>
      </c>
      <c r="C557" s="5" t="s">
        <v>653</v>
      </c>
      <c r="D557" s="5" t="s">
        <v>42</v>
      </c>
      <c r="E557" s="3">
        <v>121211</v>
      </c>
      <c r="F557" s="3">
        <v>102544.4</v>
      </c>
      <c r="G557" s="18">
        <f t="shared" si="39"/>
        <v>175790.4</v>
      </c>
    </row>
    <row r="558" spans="1:7" x14ac:dyDescent="0.35">
      <c r="B558" s="32" t="s">
        <v>2544</v>
      </c>
      <c r="C558" s="5" t="s">
        <v>654</v>
      </c>
      <c r="D558" s="5" t="s">
        <v>44</v>
      </c>
      <c r="E558" s="3">
        <v>9155</v>
      </c>
      <c r="F558" s="3">
        <v>8903.8799999999992</v>
      </c>
      <c r="G558" s="18">
        <f t="shared" ref="G558:G645" si="46">+F558/7*12</f>
        <v>15263.794285714284</v>
      </c>
    </row>
    <row r="559" spans="1:7" x14ac:dyDescent="0.35">
      <c r="B559" s="32" t="s">
        <v>2544</v>
      </c>
      <c r="C559" s="5" t="s">
        <v>655</v>
      </c>
      <c r="D559" s="5" t="s">
        <v>46</v>
      </c>
      <c r="E559" s="3">
        <v>9155</v>
      </c>
      <c r="F559" s="3">
        <v>643.16</v>
      </c>
      <c r="G559" s="18">
        <f t="shared" si="46"/>
        <v>1102.56</v>
      </c>
    </row>
    <row r="560" spans="1:7" x14ac:dyDescent="0.35">
      <c r="B560" s="32" t="s">
        <v>2544</v>
      </c>
      <c r="C560" s="5" t="s">
        <v>656</v>
      </c>
      <c r="D560" s="5" t="s">
        <v>48</v>
      </c>
      <c r="E560" s="3">
        <v>0</v>
      </c>
      <c r="F560" s="3">
        <v>0</v>
      </c>
      <c r="G560" s="18">
        <f t="shared" si="46"/>
        <v>0</v>
      </c>
    </row>
    <row r="561" spans="2:7" x14ac:dyDescent="0.35">
      <c r="B561" s="32" t="s">
        <v>2544</v>
      </c>
      <c r="C561" s="5" t="s">
        <v>657</v>
      </c>
      <c r="D561" s="5" t="s">
        <v>50</v>
      </c>
      <c r="E561" s="3">
        <v>9155</v>
      </c>
      <c r="F561" s="3">
        <v>15834.72</v>
      </c>
      <c r="G561" s="18">
        <f t="shared" si="46"/>
        <v>27145.234285714283</v>
      </c>
    </row>
    <row r="562" spans="2:7" x14ac:dyDescent="0.35">
      <c r="B562" s="32" t="s">
        <v>2544</v>
      </c>
      <c r="C562" s="5" t="s">
        <v>658</v>
      </c>
      <c r="D562" s="5" t="s">
        <v>52</v>
      </c>
      <c r="E562" s="3">
        <v>0</v>
      </c>
      <c r="F562" s="3">
        <v>9858.07</v>
      </c>
      <c r="G562" s="18">
        <f t="shared" si="46"/>
        <v>16899.548571428571</v>
      </c>
    </row>
    <row r="563" spans="2:7" x14ac:dyDescent="0.35">
      <c r="B563" s="32" t="s">
        <v>2544</v>
      </c>
      <c r="C563" s="5" t="s">
        <v>659</v>
      </c>
      <c r="D563" s="5" t="s">
        <v>64</v>
      </c>
      <c r="E563" s="3">
        <v>10012000</v>
      </c>
      <c r="F563" s="3">
        <v>0</v>
      </c>
      <c r="G563" s="18">
        <f t="shared" si="46"/>
        <v>0</v>
      </c>
    </row>
    <row r="564" spans="2:7" x14ac:dyDescent="0.35">
      <c r="B564" s="32" t="s">
        <v>2544</v>
      </c>
      <c r="C564" s="5" t="s">
        <v>660</v>
      </c>
      <c r="D564" s="5" t="s">
        <v>66</v>
      </c>
      <c r="E564" s="3">
        <v>0</v>
      </c>
      <c r="F564" s="3">
        <v>0</v>
      </c>
      <c r="G564" s="18">
        <f t="shared" si="46"/>
        <v>0</v>
      </c>
    </row>
    <row r="565" spans="2:7" x14ac:dyDescent="0.35">
      <c r="B565" s="32" t="s">
        <v>2544</v>
      </c>
      <c r="C565" s="5" t="s">
        <v>661</v>
      </c>
      <c r="D565" s="5" t="s">
        <v>68</v>
      </c>
      <c r="E565" s="3">
        <v>0</v>
      </c>
      <c r="F565" s="3">
        <v>0</v>
      </c>
      <c r="G565" s="18">
        <f t="shared" si="46"/>
        <v>0</v>
      </c>
    </row>
    <row r="566" spans="2:7" x14ac:dyDescent="0.35">
      <c r="B566" s="32" t="s">
        <v>2544</v>
      </c>
      <c r="C566" s="5" t="s">
        <v>662</v>
      </c>
      <c r="D566" s="5" t="s">
        <v>90</v>
      </c>
      <c r="E566" s="3">
        <v>6000</v>
      </c>
      <c r="F566" s="3">
        <v>6000</v>
      </c>
      <c r="G566" s="18">
        <f t="shared" si="46"/>
        <v>10285.714285714286</v>
      </c>
    </row>
    <row r="567" spans="2:7" x14ac:dyDescent="0.35">
      <c r="B567" s="32" t="s">
        <v>2544</v>
      </c>
      <c r="C567" s="5" t="s">
        <v>663</v>
      </c>
      <c r="D567" s="5" t="s">
        <v>440</v>
      </c>
      <c r="E567" s="3">
        <v>9000</v>
      </c>
      <c r="F567" s="3">
        <v>4549.4399999999996</v>
      </c>
      <c r="G567" s="18">
        <f t="shared" si="46"/>
        <v>7799.0399999999991</v>
      </c>
    </row>
    <row r="568" spans="2:7" x14ac:dyDescent="0.35">
      <c r="B568" s="32" t="s">
        <v>2544</v>
      </c>
      <c r="C568" s="5" t="s">
        <v>664</v>
      </c>
      <c r="D568" s="5" t="s">
        <v>541</v>
      </c>
      <c r="E568" s="3">
        <v>0</v>
      </c>
      <c r="F568" s="3">
        <v>0</v>
      </c>
      <c r="G568" s="18">
        <f t="shared" si="46"/>
        <v>0</v>
      </c>
    </row>
    <row r="569" spans="2:7" x14ac:dyDescent="0.35">
      <c r="B569" s="32" t="s">
        <v>2544</v>
      </c>
      <c r="C569" s="5" t="s">
        <v>665</v>
      </c>
      <c r="D569" s="5" t="s">
        <v>543</v>
      </c>
      <c r="E569" s="3">
        <v>120000</v>
      </c>
      <c r="F569" s="3">
        <f>34517.06-6.24</f>
        <v>34510.82</v>
      </c>
      <c r="G569" s="18">
        <f t="shared" si="46"/>
        <v>59161.405714285705</v>
      </c>
    </row>
    <row r="570" spans="2:7" x14ac:dyDescent="0.35">
      <c r="B570" s="32" t="s">
        <v>2544</v>
      </c>
      <c r="C570" s="5" t="s">
        <v>666</v>
      </c>
      <c r="D570" s="5" t="s">
        <v>667</v>
      </c>
      <c r="E570" s="3">
        <v>10000</v>
      </c>
      <c r="F570" s="3">
        <v>48.4</v>
      </c>
      <c r="G570" s="18">
        <f t="shared" si="46"/>
        <v>82.971428571428561</v>
      </c>
    </row>
    <row r="571" spans="2:7" x14ac:dyDescent="0.35">
      <c r="B571" s="32" t="s">
        <v>2544</v>
      </c>
      <c r="C571" s="5" t="s">
        <v>668</v>
      </c>
      <c r="D571" s="5" t="s">
        <v>669</v>
      </c>
      <c r="E571" s="3">
        <v>1750</v>
      </c>
      <c r="F571" s="3">
        <v>0</v>
      </c>
      <c r="G571" s="18">
        <f t="shared" si="46"/>
        <v>0</v>
      </c>
    </row>
    <row r="572" spans="2:7" x14ac:dyDescent="0.35">
      <c r="B572" s="32" t="s">
        <v>2544</v>
      </c>
      <c r="C572" s="5" t="s">
        <v>670</v>
      </c>
      <c r="D572" s="5" t="s">
        <v>671</v>
      </c>
      <c r="E572" s="3">
        <v>100000</v>
      </c>
      <c r="F572" s="3">
        <v>38512.81</v>
      </c>
      <c r="G572" s="18">
        <f t="shared" si="46"/>
        <v>66021.959999999992</v>
      </c>
    </row>
    <row r="573" spans="2:7" x14ac:dyDescent="0.35">
      <c r="B573" s="32" t="s">
        <v>2544</v>
      </c>
      <c r="C573" s="5" t="s">
        <v>672</v>
      </c>
      <c r="D573" s="5" t="s">
        <v>417</v>
      </c>
      <c r="E573" s="3">
        <v>12000</v>
      </c>
      <c r="F573" s="3">
        <v>5515.67</v>
      </c>
      <c r="G573" s="18">
        <f t="shared" si="46"/>
        <v>9455.4342857142856</v>
      </c>
    </row>
    <row r="574" spans="2:7" x14ac:dyDescent="0.35">
      <c r="B574" s="32" t="s">
        <v>2544</v>
      </c>
      <c r="C574" s="5" t="s">
        <v>673</v>
      </c>
      <c r="D574" s="5" t="s">
        <v>674</v>
      </c>
      <c r="E574" s="3">
        <v>0</v>
      </c>
      <c r="F574" s="3">
        <v>0</v>
      </c>
      <c r="G574" s="18">
        <f t="shared" si="46"/>
        <v>0</v>
      </c>
    </row>
    <row r="575" spans="2:7" x14ac:dyDescent="0.35">
      <c r="B575" s="32" t="s">
        <v>2544</v>
      </c>
      <c r="C575" s="5" t="s">
        <v>675</v>
      </c>
      <c r="D575" s="5" t="s">
        <v>120</v>
      </c>
      <c r="E575" s="3">
        <v>0</v>
      </c>
      <c r="F575" s="3">
        <v>0</v>
      </c>
      <c r="G575" s="18">
        <f t="shared" si="46"/>
        <v>0</v>
      </c>
    </row>
    <row r="576" spans="2:7" x14ac:dyDescent="0.35">
      <c r="B576" s="32" t="s">
        <v>2544</v>
      </c>
      <c r="C576" s="5" t="s">
        <v>676</v>
      </c>
      <c r="D576" s="5" t="s">
        <v>124</v>
      </c>
      <c r="E576" s="3">
        <v>0</v>
      </c>
      <c r="F576" s="3">
        <v>0</v>
      </c>
      <c r="G576" s="18">
        <f t="shared" si="46"/>
        <v>0</v>
      </c>
    </row>
    <row r="577" spans="1:7" s="8" customFormat="1" x14ac:dyDescent="0.35">
      <c r="B577" s="33" t="s">
        <v>2546</v>
      </c>
      <c r="C577" s="5"/>
      <c r="D577" s="5"/>
      <c r="E577" s="10">
        <f>SUM(E551:E576)</f>
        <v>11544714</v>
      </c>
      <c r="F577" s="10">
        <f t="shared" ref="F577:G577" si="47">SUM(F551:F576)</f>
        <v>1307247.0899999996</v>
      </c>
      <c r="G577" s="22">
        <f t="shared" si="47"/>
        <v>2240995.0114285713</v>
      </c>
    </row>
    <row r="578" spans="1:7" s="8" customFormat="1" ht="8.25" customHeight="1" x14ac:dyDescent="0.35">
      <c r="B578" s="23"/>
      <c r="E578" s="39"/>
      <c r="F578" s="39"/>
      <c r="G578" s="40"/>
    </row>
    <row r="579" spans="1:7" s="8" customFormat="1" ht="15" thickBot="1" x14ac:dyDescent="0.4">
      <c r="B579" s="35" t="s">
        <v>2548</v>
      </c>
      <c r="C579" s="25"/>
      <c r="D579" s="25"/>
      <c r="E579" s="26">
        <f>+E549+E577</f>
        <v>11544714</v>
      </c>
      <c r="F579" s="26">
        <f t="shared" ref="F579:G579" si="48">+F549+F577</f>
        <v>1307247.0899999996</v>
      </c>
      <c r="G579" s="27">
        <f t="shared" si="48"/>
        <v>2240995.0114285713</v>
      </c>
    </row>
    <row r="580" spans="1:7" s="8" customFormat="1" x14ac:dyDescent="0.35">
      <c r="E580" s="9"/>
      <c r="F580" s="9"/>
      <c r="G580" s="9"/>
    </row>
    <row r="581" spans="1:7" s="8" customFormat="1" x14ac:dyDescent="0.35">
      <c r="E581" s="9"/>
      <c r="F581" s="9"/>
      <c r="G581" s="9"/>
    </row>
    <row r="582" spans="1:7" s="8" customFormat="1" ht="15" thickBot="1" x14ac:dyDescent="0.4">
      <c r="A582" s="12" t="s">
        <v>2564</v>
      </c>
      <c r="B582" s="28" t="s">
        <v>2562</v>
      </c>
      <c r="E582" s="9"/>
      <c r="F582" s="9"/>
      <c r="G582" s="9"/>
    </row>
    <row r="583" spans="1:7" x14ac:dyDescent="0.35">
      <c r="B583" s="31" t="s">
        <v>2543</v>
      </c>
      <c r="C583" s="14" t="s">
        <v>677</v>
      </c>
      <c r="D583" s="14" t="s">
        <v>30</v>
      </c>
      <c r="E583" s="15">
        <v>0</v>
      </c>
      <c r="F583" s="15">
        <v>0</v>
      </c>
      <c r="G583" s="16">
        <f t="shared" si="46"/>
        <v>0</v>
      </c>
    </row>
    <row r="584" spans="1:7" x14ac:dyDescent="0.35">
      <c r="B584" s="32" t="s">
        <v>2543</v>
      </c>
      <c r="C584" s="5" t="s">
        <v>678</v>
      </c>
      <c r="D584" s="5" t="s">
        <v>32</v>
      </c>
      <c r="E584" s="3">
        <v>0</v>
      </c>
      <c r="F584" s="3">
        <v>0</v>
      </c>
      <c r="G584" s="18">
        <f t="shared" si="46"/>
        <v>0</v>
      </c>
    </row>
    <row r="585" spans="1:7" s="8" customFormat="1" x14ac:dyDescent="0.35">
      <c r="B585" s="33" t="s">
        <v>2545</v>
      </c>
      <c r="C585" s="5"/>
      <c r="D585" s="5"/>
      <c r="E585" s="10">
        <f>SUM(E583:E584)</f>
        <v>0</v>
      </c>
      <c r="F585" s="10">
        <f t="shared" ref="F585:G585" si="49">SUM(F583:F584)</f>
        <v>0</v>
      </c>
      <c r="G585" s="22">
        <f t="shared" si="49"/>
        <v>0</v>
      </c>
    </row>
    <row r="586" spans="1:7" s="8" customFormat="1" x14ac:dyDescent="0.35">
      <c r="B586" s="23"/>
      <c r="E586" s="9"/>
      <c r="F586" s="9"/>
      <c r="G586" s="21"/>
    </row>
    <row r="587" spans="1:7" x14ac:dyDescent="0.35">
      <c r="B587" s="32" t="s">
        <v>2544</v>
      </c>
      <c r="C587" s="5" t="s">
        <v>679</v>
      </c>
      <c r="D587" s="5" t="s">
        <v>34</v>
      </c>
      <c r="E587" s="3">
        <v>0</v>
      </c>
      <c r="F587" s="3">
        <v>0</v>
      </c>
      <c r="G587" s="18">
        <f t="shared" si="46"/>
        <v>0</v>
      </c>
    </row>
    <row r="588" spans="1:7" x14ac:dyDescent="0.35">
      <c r="B588" s="32" t="s">
        <v>2544</v>
      </c>
      <c r="C588" s="5" t="s">
        <v>680</v>
      </c>
      <c r="D588" s="5" t="s">
        <v>38</v>
      </c>
      <c r="E588" s="3">
        <v>0</v>
      </c>
      <c r="F588" s="3">
        <v>0</v>
      </c>
      <c r="G588" s="18">
        <f t="shared" si="46"/>
        <v>0</v>
      </c>
    </row>
    <row r="589" spans="1:7" x14ac:dyDescent="0.35">
      <c r="B589" s="32" t="s">
        <v>2544</v>
      </c>
      <c r="C589" s="5" t="s">
        <v>681</v>
      </c>
      <c r="D589" s="5" t="s">
        <v>52</v>
      </c>
      <c r="E589" s="3">
        <v>0</v>
      </c>
      <c r="F589" s="3">
        <v>0</v>
      </c>
      <c r="G589" s="18">
        <f t="shared" si="46"/>
        <v>0</v>
      </c>
    </row>
    <row r="590" spans="1:7" x14ac:dyDescent="0.35">
      <c r="B590" s="32" t="s">
        <v>2544</v>
      </c>
      <c r="C590" s="5" t="s">
        <v>682</v>
      </c>
      <c r="D590" s="5" t="s">
        <v>64</v>
      </c>
      <c r="E590" s="3">
        <v>0</v>
      </c>
      <c r="F590" s="3">
        <v>0</v>
      </c>
      <c r="G590" s="18">
        <f t="shared" si="46"/>
        <v>0</v>
      </c>
    </row>
    <row r="591" spans="1:7" x14ac:dyDescent="0.35">
      <c r="B591" s="32" t="s">
        <v>2544</v>
      </c>
      <c r="C591" s="5" t="s">
        <v>683</v>
      </c>
      <c r="D591" s="5" t="s">
        <v>66</v>
      </c>
      <c r="E591" s="3">
        <v>0</v>
      </c>
      <c r="F591" s="3">
        <v>0</v>
      </c>
      <c r="G591" s="18">
        <f t="shared" si="46"/>
        <v>0</v>
      </c>
    </row>
    <row r="592" spans="1:7" x14ac:dyDescent="0.35">
      <c r="B592" s="32" t="s">
        <v>2544</v>
      </c>
      <c r="C592" s="5" t="s">
        <v>684</v>
      </c>
      <c r="D592" s="5" t="s">
        <v>68</v>
      </c>
      <c r="E592" s="3">
        <v>0</v>
      </c>
      <c r="F592" s="3">
        <v>0</v>
      </c>
      <c r="G592" s="18">
        <f t="shared" si="46"/>
        <v>0</v>
      </c>
    </row>
    <row r="593" spans="1:7" x14ac:dyDescent="0.35">
      <c r="B593" s="32" t="s">
        <v>2544</v>
      </c>
      <c r="C593" s="5" t="s">
        <v>685</v>
      </c>
      <c r="D593" s="5" t="s">
        <v>120</v>
      </c>
      <c r="E593" s="3">
        <v>0</v>
      </c>
      <c r="F593" s="3">
        <v>0</v>
      </c>
      <c r="G593" s="18">
        <f t="shared" si="46"/>
        <v>0</v>
      </c>
    </row>
    <row r="594" spans="1:7" x14ac:dyDescent="0.35">
      <c r="B594" s="32" t="s">
        <v>2544</v>
      </c>
      <c r="C594" s="5" t="s">
        <v>686</v>
      </c>
      <c r="D594" s="5" t="s">
        <v>368</v>
      </c>
      <c r="E594" s="3">
        <v>75000</v>
      </c>
      <c r="F594" s="3">
        <v>59335.68</v>
      </c>
      <c r="G594" s="18">
        <f t="shared" si="46"/>
        <v>101718.30857142856</v>
      </c>
    </row>
    <row r="595" spans="1:7" x14ac:dyDescent="0.35">
      <c r="B595" s="32" t="s">
        <v>2544</v>
      </c>
      <c r="C595" s="5" t="s">
        <v>687</v>
      </c>
      <c r="D595" s="5" t="s">
        <v>124</v>
      </c>
      <c r="E595" s="3">
        <v>0</v>
      </c>
      <c r="F595" s="3">
        <v>0</v>
      </c>
      <c r="G595" s="18">
        <f t="shared" si="46"/>
        <v>0</v>
      </c>
    </row>
    <row r="596" spans="1:7" s="8" customFormat="1" x14ac:dyDescent="0.35">
      <c r="B596" s="33" t="s">
        <v>2546</v>
      </c>
      <c r="C596" s="5"/>
      <c r="D596" s="5"/>
      <c r="E596" s="10">
        <f>SUM(E587:E595)</f>
        <v>75000</v>
      </c>
      <c r="F596" s="10">
        <f t="shared" ref="F596:G596" si="50">SUM(F587:F595)</f>
        <v>59335.68</v>
      </c>
      <c r="G596" s="22">
        <f t="shared" si="50"/>
        <v>101718.30857142856</v>
      </c>
    </row>
    <row r="597" spans="1:7" s="8" customFormat="1" ht="9" customHeight="1" x14ac:dyDescent="0.35">
      <c r="B597" s="23"/>
      <c r="E597" s="39"/>
      <c r="F597" s="39"/>
      <c r="G597" s="40"/>
    </row>
    <row r="598" spans="1:7" s="8" customFormat="1" ht="15" thickBot="1" x14ac:dyDescent="0.4">
      <c r="B598" s="35" t="s">
        <v>2548</v>
      </c>
      <c r="C598" s="25"/>
      <c r="D598" s="25"/>
      <c r="E598" s="26">
        <f>+E585+E596</f>
        <v>75000</v>
      </c>
      <c r="F598" s="26">
        <f t="shared" ref="F598:G598" si="51">+F585+F596</f>
        <v>59335.68</v>
      </c>
      <c r="G598" s="27">
        <f t="shared" si="51"/>
        <v>101718.30857142856</v>
      </c>
    </row>
    <row r="599" spans="1:7" s="8" customFormat="1" x14ac:dyDescent="0.35">
      <c r="E599" s="9"/>
      <c r="F599" s="9"/>
      <c r="G599" s="9"/>
    </row>
    <row r="600" spans="1:7" s="8" customFormat="1" x14ac:dyDescent="0.35">
      <c r="E600" s="9"/>
      <c r="F600" s="9"/>
      <c r="G600" s="9"/>
    </row>
    <row r="601" spans="1:7" s="8" customFormat="1" ht="15" thickBot="1" x14ac:dyDescent="0.4">
      <c r="A601" s="12" t="s">
        <v>2564</v>
      </c>
      <c r="B601" s="12" t="s">
        <v>2563</v>
      </c>
      <c r="E601" s="9"/>
      <c r="F601" s="9"/>
      <c r="G601" s="9"/>
    </row>
    <row r="602" spans="1:7" x14ac:dyDescent="0.35">
      <c r="B602" s="31" t="s">
        <v>2543</v>
      </c>
      <c r="C602" s="14" t="s">
        <v>688</v>
      </c>
      <c r="D602" s="14" t="s">
        <v>30</v>
      </c>
      <c r="E602" s="15">
        <v>0</v>
      </c>
      <c r="F602" s="15">
        <v>0</v>
      </c>
      <c r="G602" s="16">
        <f>+F602/7*12</f>
        <v>0</v>
      </c>
    </row>
    <row r="603" spans="1:7" s="8" customFormat="1" x14ac:dyDescent="0.35">
      <c r="B603" s="33" t="s">
        <v>2545</v>
      </c>
      <c r="C603" s="5"/>
      <c r="D603" s="5"/>
      <c r="E603" s="10">
        <f>SUM(E602)</f>
        <v>0</v>
      </c>
      <c r="F603" s="10">
        <f t="shared" ref="F603:G603" si="52">SUM(F602)</f>
        <v>0</v>
      </c>
      <c r="G603" s="22">
        <f t="shared" si="52"/>
        <v>0</v>
      </c>
    </row>
    <row r="604" spans="1:7" s="8" customFormat="1" x14ac:dyDescent="0.35">
      <c r="B604" s="23"/>
      <c r="E604" s="9"/>
      <c r="F604" s="9"/>
      <c r="G604" s="21"/>
    </row>
    <row r="605" spans="1:7" x14ac:dyDescent="0.35">
      <c r="B605" s="32" t="s">
        <v>2544</v>
      </c>
      <c r="C605" s="5" t="s">
        <v>689</v>
      </c>
      <c r="D605" s="5" t="s">
        <v>32</v>
      </c>
      <c r="E605" s="3">
        <v>0</v>
      </c>
      <c r="F605" s="3">
        <v>0</v>
      </c>
      <c r="G605" s="18">
        <f t="shared" ref="G605:G616" si="53">+F605/7*12</f>
        <v>0</v>
      </c>
    </row>
    <row r="606" spans="1:7" x14ac:dyDescent="0.35">
      <c r="B606" s="32" t="s">
        <v>2544</v>
      </c>
      <c r="C606" s="5" t="s">
        <v>690</v>
      </c>
      <c r="D606" s="5" t="s">
        <v>34</v>
      </c>
      <c r="E606" s="3">
        <v>0</v>
      </c>
      <c r="F606" s="3">
        <v>0</v>
      </c>
      <c r="G606" s="18">
        <f t="shared" si="53"/>
        <v>0</v>
      </c>
    </row>
    <row r="607" spans="1:7" x14ac:dyDescent="0.35">
      <c r="B607" s="32" t="s">
        <v>2544</v>
      </c>
      <c r="C607" s="5" t="s">
        <v>691</v>
      </c>
      <c r="D607" s="5" t="s">
        <v>38</v>
      </c>
      <c r="E607" s="3">
        <v>0</v>
      </c>
      <c r="F607" s="3">
        <v>0</v>
      </c>
      <c r="G607" s="18">
        <f t="shared" si="53"/>
        <v>0</v>
      </c>
    </row>
    <row r="608" spans="1:7" x14ac:dyDescent="0.35">
      <c r="B608" s="32" t="s">
        <v>2544</v>
      </c>
      <c r="C608" s="5" t="s">
        <v>692</v>
      </c>
      <c r="D608" s="5" t="s">
        <v>52</v>
      </c>
      <c r="E608" s="3">
        <v>0</v>
      </c>
      <c r="F608" s="3">
        <v>0</v>
      </c>
      <c r="G608" s="18">
        <f t="shared" si="53"/>
        <v>0</v>
      </c>
    </row>
    <row r="609" spans="1:7" x14ac:dyDescent="0.35">
      <c r="B609" s="32" t="s">
        <v>2544</v>
      </c>
      <c r="C609" s="5" t="s">
        <v>693</v>
      </c>
      <c r="D609" s="5" t="s">
        <v>64</v>
      </c>
      <c r="E609" s="3">
        <v>0</v>
      </c>
      <c r="F609" s="3">
        <v>0</v>
      </c>
      <c r="G609" s="18">
        <f t="shared" si="53"/>
        <v>0</v>
      </c>
    </row>
    <row r="610" spans="1:7" x14ac:dyDescent="0.35">
      <c r="B610" s="32" t="s">
        <v>2544</v>
      </c>
      <c r="C610" s="5" t="s">
        <v>694</v>
      </c>
      <c r="D610" s="5" t="s">
        <v>66</v>
      </c>
      <c r="E610" s="3">
        <v>0</v>
      </c>
      <c r="F610" s="3">
        <v>0</v>
      </c>
      <c r="G610" s="18">
        <f t="shared" si="53"/>
        <v>0</v>
      </c>
    </row>
    <row r="611" spans="1:7" x14ac:dyDescent="0.35">
      <c r="B611" s="32" t="s">
        <v>2544</v>
      </c>
      <c r="C611" s="5" t="s">
        <v>695</v>
      </c>
      <c r="D611" s="5" t="s">
        <v>68</v>
      </c>
      <c r="E611" s="3">
        <v>0</v>
      </c>
      <c r="F611" s="3">
        <v>0</v>
      </c>
      <c r="G611" s="18">
        <f t="shared" si="53"/>
        <v>0</v>
      </c>
    </row>
    <row r="612" spans="1:7" x14ac:dyDescent="0.35">
      <c r="B612" s="32" t="s">
        <v>2544</v>
      </c>
      <c r="C612" s="5" t="s">
        <v>696</v>
      </c>
      <c r="D612" s="5" t="s">
        <v>417</v>
      </c>
      <c r="E612" s="3">
        <v>0</v>
      </c>
      <c r="F612" s="3">
        <v>0</v>
      </c>
      <c r="G612" s="18">
        <f t="shared" si="53"/>
        <v>0</v>
      </c>
    </row>
    <row r="613" spans="1:7" x14ac:dyDescent="0.35">
      <c r="B613" s="32" t="s">
        <v>2544</v>
      </c>
      <c r="C613" s="5" t="s">
        <v>697</v>
      </c>
      <c r="D613" s="5" t="s">
        <v>120</v>
      </c>
      <c r="E613" s="3">
        <v>0</v>
      </c>
      <c r="F613" s="3">
        <v>0</v>
      </c>
      <c r="G613" s="18">
        <f t="shared" si="53"/>
        <v>0</v>
      </c>
    </row>
    <row r="614" spans="1:7" x14ac:dyDescent="0.35">
      <c r="B614" s="32" t="s">
        <v>2544</v>
      </c>
      <c r="C614" s="5" t="s">
        <v>698</v>
      </c>
      <c r="D614" s="5" t="s">
        <v>122</v>
      </c>
      <c r="E614" s="3">
        <v>0</v>
      </c>
      <c r="F614" s="3">
        <v>0</v>
      </c>
      <c r="G614" s="18">
        <f t="shared" si="53"/>
        <v>0</v>
      </c>
    </row>
    <row r="615" spans="1:7" x14ac:dyDescent="0.35">
      <c r="B615" s="32" t="s">
        <v>2544</v>
      </c>
      <c r="C615" s="5" t="s">
        <v>699</v>
      </c>
      <c r="D615" s="5" t="s">
        <v>368</v>
      </c>
      <c r="E615" s="3">
        <v>20000</v>
      </c>
      <c r="F615" s="3">
        <v>4927.95</v>
      </c>
      <c r="G615" s="18">
        <f t="shared" si="53"/>
        <v>8447.9142857142851</v>
      </c>
    </row>
    <row r="616" spans="1:7" x14ac:dyDescent="0.35">
      <c r="B616" s="32" t="s">
        <v>2544</v>
      </c>
      <c r="C616" s="6" t="s">
        <v>700</v>
      </c>
      <c r="D616" s="6" t="s">
        <v>124</v>
      </c>
      <c r="E616" s="7">
        <v>0</v>
      </c>
      <c r="F616" s="7">
        <v>0</v>
      </c>
      <c r="G616" s="43">
        <f t="shared" si="53"/>
        <v>0</v>
      </c>
    </row>
    <row r="617" spans="1:7" s="8" customFormat="1" x14ac:dyDescent="0.35">
      <c r="B617" s="33" t="s">
        <v>2546</v>
      </c>
      <c r="C617" s="5"/>
      <c r="D617" s="5"/>
      <c r="E617" s="10">
        <f>SUM(E605:E616)</f>
        <v>20000</v>
      </c>
      <c r="F617" s="10">
        <f t="shared" ref="F617:G617" si="54">SUM(F605:F616)</f>
        <v>4927.95</v>
      </c>
      <c r="G617" s="22">
        <f t="shared" si="54"/>
        <v>8447.9142857142851</v>
      </c>
    </row>
    <row r="618" spans="1:7" s="8" customFormat="1" ht="8.25" customHeight="1" x14ac:dyDescent="0.35">
      <c r="B618" s="23"/>
      <c r="E618" s="39"/>
      <c r="F618" s="39"/>
      <c r="G618" s="40"/>
    </row>
    <row r="619" spans="1:7" s="8" customFormat="1" ht="15" thickBot="1" x14ac:dyDescent="0.4">
      <c r="B619" s="35" t="s">
        <v>2548</v>
      </c>
      <c r="C619" s="25"/>
      <c r="D619" s="25"/>
      <c r="E619" s="26">
        <f>+E603+E617</f>
        <v>20000</v>
      </c>
      <c r="F619" s="26">
        <f t="shared" ref="F619:G619" si="55">+F603+F617</f>
        <v>4927.95</v>
      </c>
      <c r="G619" s="27">
        <f t="shared" si="55"/>
        <v>8447.9142857142851</v>
      </c>
    </row>
    <row r="620" spans="1:7" s="8" customFormat="1" x14ac:dyDescent="0.35">
      <c r="E620" s="9"/>
      <c r="F620" s="9"/>
      <c r="G620" s="9"/>
    </row>
    <row r="621" spans="1:7" s="8" customFormat="1" x14ac:dyDescent="0.35">
      <c r="E621" s="9"/>
      <c r="F621" s="9"/>
      <c r="G621" s="9"/>
    </row>
    <row r="622" spans="1:7" s="8" customFormat="1" ht="15" thickBot="1" x14ac:dyDescent="0.4">
      <c r="A622" s="28" t="s">
        <v>2564</v>
      </c>
      <c r="B622" s="28" t="s">
        <v>2564</v>
      </c>
      <c r="E622" s="9"/>
      <c r="F622" s="9"/>
      <c r="G622" s="9"/>
    </row>
    <row r="623" spans="1:7" x14ac:dyDescent="0.35">
      <c r="B623" s="31" t="s">
        <v>2543</v>
      </c>
      <c r="C623" s="14" t="s">
        <v>701</v>
      </c>
      <c r="D623" s="14" t="s">
        <v>702</v>
      </c>
      <c r="E623" s="15">
        <v>-5691670</v>
      </c>
      <c r="F623" s="15">
        <f>26771.7-3190555.23</f>
        <v>-3163783.53</v>
      </c>
      <c r="G623" s="16">
        <f t="shared" si="46"/>
        <v>-5423628.9085714277</v>
      </c>
    </row>
    <row r="624" spans="1:7" x14ac:dyDescent="0.35">
      <c r="B624" s="32" t="s">
        <v>2543</v>
      </c>
      <c r="C624" s="5" t="s">
        <v>703</v>
      </c>
      <c r="D624" s="5" t="s">
        <v>704</v>
      </c>
      <c r="E624" s="3">
        <v>-3275395</v>
      </c>
      <c r="F624" s="3">
        <f>398.66-1969833.4</f>
        <v>-1969434.74</v>
      </c>
      <c r="G624" s="18">
        <f t="shared" si="46"/>
        <v>-3376173.84</v>
      </c>
    </row>
    <row r="625" spans="2:7" x14ac:dyDescent="0.35">
      <c r="B625" s="32" t="s">
        <v>2543</v>
      </c>
      <c r="C625" s="5" t="s">
        <v>705</v>
      </c>
      <c r="D625" s="5" t="s">
        <v>706</v>
      </c>
      <c r="E625" s="3">
        <v>232569</v>
      </c>
      <c r="F625" s="3">
        <v>165327.53</v>
      </c>
      <c r="G625" s="18">
        <f t="shared" si="46"/>
        <v>283418.62285714282</v>
      </c>
    </row>
    <row r="626" spans="2:7" x14ac:dyDescent="0.35">
      <c r="B626" s="32" t="s">
        <v>2543</v>
      </c>
      <c r="C626" s="5" t="s">
        <v>707</v>
      </c>
      <c r="D626" s="5" t="s">
        <v>708</v>
      </c>
      <c r="E626" s="3">
        <v>-20000</v>
      </c>
      <c r="F626" s="3">
        <f>228.42-1860</f>
        <v>-1631.58</v>
      </c>
      <c r="G626" s="18">
        <f t="shared" si="46"/>
        <v>-2796.9942857142855</v>
      </c>
    </row>
    <row r="627" spans="2:7" x14ac:dyDescent="0.35">
      <c r="B627" s="32" t="s">
        <v>2543</v>
      </c>
      <c r="C627" s="5" t="s">
        <v>709</v>
      </c>
      <c r="D627" s="5" t="s">
        <v>710</v>
      </c>
      <c r="E627" s="3">
        <v>-25000</v>
      </c>
      <c r="F627" s="3">
        <f>7225.56-58840</f>
        <v>-51614.44</v>
      </c>
      <c r="G627" s="18">
        <f t="shared" si="46"/>
        <v>-88481.897142857139</v>
      </c>
    </row>
    <row r="628" spans="2:7" x14ac:dyDescent="0.35">
      <c r="B628" s="32" t="s">
        <v>2543</v>
      </c>
      <c r="C628" s="5" t="s">
        <v>711</v>
      </c>
      <c r="D628" s="5" t="s">
        <v>126</v>
      </c>
      <c r="E628" s="3">
        <v>0</v>
      </c>
      <c r="F628" s="3">
        <v>0</v>
      </c>
      <c r="G628" s="18">
        <f t="shared" si="46"/>
        <v>0</v>
      </c>
    </row>
    <row r="629" spans="2:7" x14ac:dyDescent="0.35">
      <c r="B629" s="32" t="s">
        <v>2543</v>
      </c>
      <c r="C629" s="5" t="s">
        <v>712</v>
      </c>
      <c r="D629" s="5" t="s">
        <v>16</v>
      </c>
      <c r="E629" s="3">
        <v>-1900000</v>
      </c>
      <c r="F629" s="3">
        <v>0</v>
      </c>
      <c r="G629" s="18">
        <f t="shared" si="46"/>
        <v>0</v>
      </c>
    </row>
    <row r="630" spans="2:7" x14ac:dyDescent="0.35">
      <c r="B630" s="32" t="s">
        <v>2543</v>
      </c>
      <c r="C630" s="5" t="s">
        <v>713</v>
      </c>
      <c r="D630" s="5" t="s">
        <v>714</v>
      </c>
      <c r="E630" s="3">
        <v>0</v>
      </c>
      <c r="F630" s="3">
        <v>0</v>
      </c>
      <c r="G630" s="18">
        <f t="shared" si="46"/>
        <v>0</v>
      </c>
    </row>
    <row r="631" spans="2:7" x14ac:dyDescent="0.35">
      <c r="B631" s="32" t="s">
        <v>2543</v>
      </c>
      <c r="C631" s="5" t="s">
        <v>715</v>
      </c>
      <c r="D631" s="5" t="s">
        <v>30</v>
      </c>
      <c r="E631" s="3">
        <v>0</v>
      </c>
      <c r="F631" s="3">
        <v>0</v>
      </c>
      <c r="G631" s="18">
        <f t="shared" si="46"/>
        <v>0</v>
      </c>
    </row>
    <row r="632" spans="2:7" x14ac:dyDescent="0.35">
      <c r="B632" s="32" t="s">
        <v>2543</v>
      </c>
      <c r="C632" s="5" t="s">
        <v>716</v>
      </c>
      <c r="D632" s="5" t="s">
        <v>32</v>
      </c>
      <c r="E632" s="3">
        <v>0</v>
      </c>
      <c r="F632" s="3">
        <v>0</v>
      </c>
      <c r="G632" s="18">
        <f t="shared" si="46"/>
        <v>0</v>
      </c>
    </row>
    <row r="633" spans="2:7" s="8" customFormat="1" x14ac:dyDescent="0.35">
      <c r="B633" s="33" t="s">
        <v>2545</v>
      </c>
      <c r="C633" s="5"/>
      <c r="D633" s="5"/>
      <c r="E633" s="10">
        <f>SUM(E623:E632)</f>
        <v>-10679496</v>
      </c>
      <c r="F633" s="10">
        <f t="shared" ref="F633:G633" si="56">SUM(F623:F632)</f>
        <v>-5021136.76</v>
      </c>
      <c r="G633" s="22">
        <f t="shared" si="56"/>
        <v>-8607663.0171428565</v>
      </c>
    </row>
    <row r="634" spans="2:7" s="8" customFormat="1" x14ac:dyDescent="0.35">
      <c r="B634" s="23"/>
      <c r="E634" s="9"/>
      <c r="F634" s="9"/>
      <c r="G634" s="21"/>
    </row>
    <row r="635" spans="2:7" x14ac:dyDescent="0.35">
      <c r="B635" s="32" t="s">
        <v>2544</v>
      </c>
      <c r="C635" s="5" t="s">
        <v>717</v>
      </c>
      <c r="D635" s="5" t="s">
        <v>34</v>
      </c>
      <c r="E635" s="3">
        <v>461151</v>
      </c>
      <c r="F635" s="3">
        <f>254927.07-7050.01</f>
        <v>247877.06</v>
      </c>
      <c r="G635" s="18">
        <f t="shared" si="46"/>
        <v>424932.10285714292</v>
      </c>
    </row>
    <row r="636" spans="2:7" x14ac:dyDescent="0.35">
      <c r="B636" s="32" t="s">
        <v>2544</v>
      </c>
      <c r="C636" s="5" t="s">
        <v>718</v>
      </c>
      <c r="D636" s="5" t="s">
        <v>36</v>
      </c>
      <c r="E636" s="3">
        <v>38429</v>
      </c>
      <c r="F636" s="3">
        <v>36112.17</v>
      </c>
      <c r="G636" s="18">
        <f t="shared" si="46"/>
        <v>61906.577142857132</v>
      </c>
    </row>
    <row r="637" spans="2:7" x14ac:dyDescent="0.35">
      <c r="B637" s="32" t="s">
        <v>2544</v>
      </c>
      <c r="C637" s="5" t="s">
        <v>719</v>
      </c>
      <c r="D637" s="5" t="s">
        <v>38</v>
      </c>
      <c r="E637" s="3">
        <v>0</v>
      </c>
      <c r="F637" s="3">
        <v>12768.15</v>
      </c>
      <c r="G637" s="18">
        <f t="shared" si="46"/>
        <v>21888.257142857143</v>
      </c>
    </row>
    <row r="638" spans="2:7" x14ac:dyDescent="0.35">
      <c r="B638" s="32" t="s">
        <v>2544</v>
      </c>
      <c r="C638" s="5" t="s">
        <v>720</v>
      </c>
      <c r="D638" s="5" t="s">
        <v>40</v>
      </c>
      <c r="E638" s="3">
        <v>0</v>
      </c>
      <c r="F638" s="3">
        <v>0</v>
      </c>
      <c r="G638" s="18">
        <f t="shared" si="46"/>
        <v>0</v>
      </c>
    </row>
    <row r="639" spans="2:7" x14ac:dyDescent="0.35">
      <c r="B639" s="32" t="s">
        <v>2544</v>
      </c>
      <c r="C639" s="5" t="s">
        <v>721</v>
      </c>
      <c r="D639" s="5" t="s">
        <v>526</v>
      </c>
      <c r="E639" s="3">
        <v>15485</v>
      </c>
      <c r="F639" s="3">
        <v>3995.34</v>
      </c>
      <c r="G639" s="18">
        <f t="shared" si="46"/>
        <v>6849.1542857142849</v>
      </c>
    </row>
    <row r="640" spans="2:7" x14ac:dyDescent="0.35">
      <c r="B640" s="32" t="s">
        <v>2544</v>
      </c>
      <c r="C640" s="5" t="s">
        <v>722</v>
      </c>
      <c r="D640" s="5" t="s">
        <v>197</v>
      </c>
      <c r="E640" s="3">
        <v>0</v>
      </c>
      <c r="F640" s="3">
        <v>0</v>
      </c>
      <c r="G640" s="18">
        <f t="shared" si="46"/>
        <v>0</v>
      </c>
    </row>
    <row r="641" spans="2:7" x14ac:dyDescent="0.35">
      <c r="B641" s="32" t="s">
        <v>2544</v>
      </c>
      <c r="C641" s="5" t="s">
        <v>723</v>
      </c>
      <c r="D641" s="5" t="s">
        <v>42</v>
      </c>
      <c r="E641" s="3">
        <v>41999</v>
      </c>
      <c r="F641" s="3">
        <v>53843.92</v>
      </c>
      <c r="G641" s="18">
        <f t="shared" si="46"/>
        <v>92303.862857142856</v>
      </c>
    </row>
    <row r="642" spans="2:7" x14ac:dyDescent="0.35">
      <c r="B642" s="32" t="s">
        <v>2544</v>
      </c>
      <c r="C642" s="5" t="s">
        <v>724</v>
      </c>
      <c r="D642" s="5" t="s">
        <v>44</v>
      </c>
      <c r="E642" s="3">
        <v>6254</v>
      </c>
      <c r="F642" s="3">
        <v>2226.71</v>
      </c>
      <c r="G642" s="18">
        <f t="shared" si="46"/>
        <v>3817.2171428571428</v>
      </c>
    </row>
    <row r="643" spans="2:7" x14ac:dyDescent="0.35">
      <c r="B643" s="32" t="s">
        <v>2544</v>
      </c>
      <c r="C643" s="5" t="s">
        <v>725</v>
      </c>
      <c r="D643" s="5" t="s">
        <v>46</v>
      </c>
      <c r="E643" s="3">
        <v>4612</v>
      </c>
      <c r="F643" s="3">
        <v>168.56</v>
      </c>
      <c r="G643" s="18">
        <f t="shared" si="46"/>
        <v>288.96000000000004</v>
      </c>
    </row>
    <row r="644" spans="2:7" x14ac:dyDescent="0.35">
      <c r="B644" s="32" t="s">
        <v>2544</v>
      </c>
      <c r="C644" s="5" t="s">
        <v>726</v>
      </c>
      <c r="D644" s="5" t="s">
        <v>48</v>
      </c>
      <c r="E644" s="3">
        <v>0</v>
      </c>
      <c r="F644" s="3">
        <v>0</v>
      </c>
      <c r="G644" s="18">
        <f t="shared" si="46"/>
        <v>0</v>
      </c>
    </row>
    <row r="645" spans="2:7" x14ac:dyDescent="0.35">
      <c r="B645" s="32" t="s">
        <v>2544</v>
      </c>
      <c r="C645" s="5" t="s">
        <v>727</v>
      </c>
      <c r="D645" s="5" t="s">
        <v>50</v>
      </c>
      <c r="E645" s="3">
        <v>4612</v>
      </c>
      <c r="F645" s="3">
        <v>1598.13</v>
      </c>
      <c r="G645" s="18">
        <f t="shared" si="46"/>
        <v>2739.6514285714288</v>
      </c>
    </row>
    <row r="646" spans="2:7" x14ac:dyDescent="0.35">
      <c r="B646" s="32" t="s">
        <v>2544</v>
      </c>
      <c r="C646" s="5" t="s">
        <v>728</v>
      </c>
      <c r="D646" s="5" t="s">
        <v>331</v>
      </c>
      <c r="E646" s="3">
        <v>0</v>
      </c>
      <c r="F646" s="3">
        <v>0</v>
      </c>
      <c r="G646" s="18">
        <f t="shared" ref="G646:G717" si="57">+F646/7*12</f>
        <v>0</v>
      </c>
    </row>
    <row r="647" spans="2:7" x14ac:dyDescent="0.35">
      <c r="B647" s="32" t="s">
        <v>2544</v>
      </c>
      <c r="C647" s="5" t="s">
        <v>729</v>
      </c>
      <c r="D647" s="5" t="s">
        <v>52</v>
      </c>
      <c r="E647" s="3">
        <v>0</v>
      </c>
      <c r="F647" s="3">
        <v>0</v>
      </c>
      <c r="G647" s="18">
        <f t="shared" si="57"/>
        <v>0</v>
      </c>
    </row>
    <row r="648" spans="2:7" x14ac:dyDescent="0.35">
      <c r="B648" s="32" t="s">
        <v>2544</v>
      </c>
      <c r="C648" s="5" t="s">
        <v>730</v>
      </c>
      <c r="D648" s="5" t="s">
        <v>298</v>
      </c>
      <c r="E648" s="3">
        <v>439000</v>
      </c>
      <c r="F648" s="3">
        <v>0</v>
      </c>
      <c r="G648" s="18">
        <f t="shared" si="57"/>
        <v>0</v>
      </c>
    </row>
    <row r="649" spans="2:7" x14ac:dyDescent="0.35">
      <c r="B649" s="32" t="s">
        <v>2544</v>
      </c>
      <c r="C649" s="5" t="s">
        <v>731</v>
      </c>
      <c r="D649" s="5" t="s">
        <v>64</v>
      </c>
      <c r="E649" s="3">
        <v>534000</v>
      </c>
      <c r="F649" s="3">
        <v>0</v>
      </c>
      <c r="G649" s="18">
        <f t="shared" si="57"/>
        <v>0</v>
      </c>
    </row>
    <row r="650" spans="2:7" x14ac:dyDescent="0.35">
      <c r="B650" s="32" t="s">
        <v>2544</v>
      </c>
      <c r="C650" s="5" t="s">
        <v>732</v>
      </c>
      <c r="D650" s="5" t="s">
        <v>66</v>
      </c>
      <c r="E650" s="3">
        <v>0</v>
      </c>
      <c r="F650" s="3">
        <v>0</v>
      </c>
      <c r="G650" s="18">
        <f t="shared" si="57"/>
        <v>0</v>
      </c>
    </row>
    <row r="651" spans="2:7" x14ac:dyDescent="0.35">
      <c r="B651" s="32" t="s">
        <v>2544</v>
      </c>
      <c r="C651" s="5" t="s">
        <v>733</v>
      </c>
      <c r="D651" s="5" t="s">
        <v>68</v>
      </c>
      <c r="E651" s="3">
        <v>0</v>
      </c>
      <c r="F651" s="3">
        <v>0</v>
      </c>
      <c r="G651" s="18">
        <f t="shared" si="57"/>
        <v>0</v>
      </c>
    </row>
    <row r="652" spans="2:7" x14ac:dyDescent="0.35">
      <c r="B652" s="32" t="s">
        <v>2544</v>
      </c>
      <c r="C652" s="5" t="s">
        <v>734</v>
      </c>
      <c r="D652" s="5" t="s">
        <v>735</v>
      </c>
      <c r="E652" s="3">
        <v>140500</v>
      </c>
      <c r="F652" s="3">
        <v>81057.119999999995</v>
      </c>
      <c r="G652" s="18">
        <f t="shared" si="57"/>
        <v>138955.06285714285</v>
      </c>
    </row>
    <row r="653" spans="2:7" x14ac:dyDescent="0.35">
      <c r="B653" s="32" t="s">
        <v>2544</v>
      </c>
      <c r="C653" s="5" t="s">
        <v>736</v>
      </c>
      <c r="D653" s="5" t="s">
        <v>737</v>
      </c>
      <c r="E653" s="3">
        <v>6300000</v>
      </c>
      <c r="F653" s="3">
        <f>3232848.87-300174.28</f>
        <v>2932674.59</v>
      </c>
      <c r="G653" s="18">
        <f t="shared" si="57"/>
        <v>5027442.154285714</v>
      </c>
    </row>
    <row r="654" spans="2:7" x14ac:dyDescent="0.35">
      <c r="B654" s="32" t="s">
        <v>2544</v>
      </c>
      <c r="C654" s="5" t="s">
        <v>738</v>
      </c>
      <c r="D654" s="5" t="s">
        <v>739</v>
      </c>
      <c r="E654" s="3">
        <v>500000</v>
      </c>
      <c r="F654" s="3">
        <f>529294.53-1992.91</f>
        <v>527301.62</v>
      </c>
      <c r="G654" s="18">
        <f t="shared" si="57"/>
        <v>903945.63428571424</v>
      </c>
    </row>
    <row r="655" spans="2:7" x14ac:dyDescent="0.35">
      <c r="B655" s="32" t="s">
        <v>2544</v>
      </c>
      <c r="C655" s="5" t="s">
        <v>740</v>
      </c>
      <c r="D655" s="5" t="s">
        <v>741</v>
      </c>
      <c r="E655" s="3">
        <v>4000</v>
      </c>
      <c r="F655" s="3">
        <v>0</v>
      </c>
      <c r="G655" s="18">
        <f t="shared" si="57"/>
        <v>0</v>
      </c>
    </row>
    <row r="656" spans="2:7" x14ac:dyDescent="0.35">
      <c r="B656" s="32" t="s">
        <v>2544</v>
      </c>
      <c r="C656" s="5" t="s">
        <v>742</v>
      </c>
      <c r="D656" s="5" t="s">
        <v>90</v>
      </c>
      <c r="E656" s="3">
        <v>6000</v>
      </c>
      <c r="F656" s="3">
        <v>6000</v>
      </c>
      <c r="G656" s="18">
        <f t="shared" si="57"/>
        <v>10285.714285714286</v>
      </c>
    </row>
    <row r="657" spans="2:7" x14ac:dyDescent="0.35">
      <c r="B657" s="32" t="s">
        <v>2544</v>
      </c>
      <c r="C657" s="5" t="s">
        <v>743</v>
      </c>
      <c r="D657" s="5" t="s">
        <v>440</v>
      </c>
      <c r="E657" s="3">
        <v>0</v>
      </c>
      <c r="F657" s="3">
        <v>0</v>
      </c>
      <c r="G657" s="18">
        <f t="shared" si="57"/>
        <v>0</v>
      </c>
    </row>
    <row r="658" spans="2:7" x14ac:dyDescent="0.35">
      <c r="B658" s="32" t="s">
        <v>2544</v>
      </c>
      <c r="C658" s="5" t="s">
        <v>744</v>
      </c>
      <c r="D658" s="5" t="s">
        <v>94</v>
      </c>
      <c r="E658" s="3">
        <v>0</v>
      </c>
      <c r="F658" s="3">
        <v>0</v>
      </c>
      <c r="G658" s="18">
        <f t="shared" si="57"/>
        <v>0</v>
      </c>
    </row>
    <row r="659" spans="2:7" x14ac:dyDescent="0.35">
      <c r="B659" s="32" t="s">
        <v>2544</v>
      </c>
      <c r="C659" s="5" t="s">
        <v>745</v>
      </c>
      <c r="D659" s="5" t="s">
        <v>543</v>
      </c>
      <c r="E659" s="3">
        <v>20000</v>
      </c>
      <c r="F659" s="3">
        <v>7672.46</v>
      </c>
      <c r="G659" s="18">
        <f t="shared" si="57"/>
        <v>13152.788571428569</v>
      </c>
    </row>
    <row r="660" spans="2:7" x14ac:dyDescent="0.35">
      <c r="B660" s="32" t="s">
        <v>2544</v>
      </c>
      <c r="C660" s="5" t="s">
        <v>746</v>
      </c>
      <c r="D660" s="5" t="s">
        <v>98</v>
      </c>
      <c r="E660" s="3">
        <v>10000</v>
      </c>
      <c r="F660" s="3">
        <v>9130.7900000000009</v>
      </c>
      <c r="G660" s="18">
        <f t="shared" si="57"/>
        <v>15652.782857142858</v>
      </c>
    </row>
    <row r="661" spans="2:7" x14ac:dyDescent="0.35">
      <c r="B661" s="32" t="s">
        <v>2544</v>
      </c>
      <c r="C661" s="5" t="s">
        <v>747</v>
      </c>
      <c r="D661" s="5" t="s">
        <v>748</v>
      </c>
      <c r="E661" s="3">
        <v>0</v>
      </c>
      <c r="F661" s="3">
        <v>0</v>
      </c>
      <c r="G661" s="18">
        <f t="shared" si="57"/>
        <v>0</v>
      </c>
    </row>
    <row r="662" spans="2:7" x14ac:dyDescent="0.35">
      <c r="B662" s="32" t="s">
        <v>2544</v>
      </c>
      <c r="C662" s="5" t="s">
        <v>749</v>
      </c>
      <c r="D662" s="5" t="s">
        <v>750</v>
      </c>
      <c r="E662" s="3">
        <v>0</v>
      </c>
      <c r="F662" s="3">
        <v>0</v>
      </c>
      <c r="G662" s="18">
        <f t="shared" si="57"/>
        <v>0</v>
      </c>
    </row>
    <row r="663" spans="2:7" x14ac:dyDescent="0.35">
      <c r="B663" s="32" t="s">
        <v>2544</v>
      </c>
      <c r="C663" s="5" t="s">
        <v>751</v>
      </c>
      <c r="D663" s="5" t="s">
        <v>752</v>
      </c>
      <c r="E663" s="3">
        <v>153000</v>
      </c>
      <c r="F663" s="3">
        <v>94491.34</v>
      </c>
      <c r="G663" s="18">
        <f t="shared" si="57"/>
        <v>161985.15428571426</v>
      </c>
    </row>
    <row r="664" spans="2:7" x14ac:dyDescent="0.35">
      <c r="B664" s="32" t="s">
        <v>2544</v>
      </c>
      <c r="C664" s="5" t="s">
        <v>753</v>
      </c>
      <c r="D664" s="5" t="s">
        <v>669</v>
      </c>
      <c r="E664" s="3">
        <v>40000</v>
      </c>
      <c r="F664" s="3">
        <f>44908.33-20.2</f>
        <v>44888.130000000005</v>
      </c>
      <c r="G664" s="18">
        <f t="shared" si="57"/>
        <v>76951.080000000016</v>
      </c>
    </row>
    <row r="665" spans="2:7" x14ac:dyDescent="0.35">
      <c r="B665" s="32" t="s">
        <v>2544</v>
      </c>
      <c r="C665" s="5" t="s">
        <v>754</v>
      </c>
      <c r="D665" s="5" t="s">
        <v>671</v>
      </c>
      <c r="E665" s="3">
        <v>10000</v>
      </c>
      <c r="F665" s="3">
        <v>2875.27</v>
      </c>
      <c r="G665" s="18">
        <f t="shared" si="57"/>
        <v>4929.0342857142859</v>
      </c>
    </row>
    <row r="666" spans="2:7" x14ac:dyDescent="0.35">
      <c r="B666" s="32" t="s">
        <v>2544</v>
      </c>
      <c r="C666" s="5" t="s">
        <v>755</v>
      </c>
      <c r="D666" s="5" t="s">
        <v>756</v>
      </c>
      <c r="E666" s="3">
        <v>0</v>
      </c>
      <c r="F666" s="3">
        <v>0</v>
      </c>
      <c r="G666" s="18">
        <f t="shared" si="57"/>
        <v>0</v>
      </c>
    </row>
    <row r="667" spans="2:7" x14ac:dyDescent="0.35">
      <c r="B667" s="32" t="s">
        <v>2544</v>
      </c>
      <c r="C667" s="5" t="s">
        <v>757</v>
      </c>
      <c r="D667" s="5" t="s">
        <v>120</v>
      </c>
      <c r="E667" s="3">
        <v>0</v>
      </c>
      <c r="F667" s="3">
        <v>0</v>
      </c>
      <c r="G667" s="18">
        <f t="shared" si="57"/>
        <v>0</v>
      </c>
    </row>
    <row r="668" spans="2:7" x14ac:dyDescent="0.35">
      <c r="B668" s="32" t="s">
        <v>2544</v>
      </c>
      <c r="C668" s="5" t="s">
        <v>758</v>
      </c>
      <c r="D668" s="5" t="s">
        <v>420</v>
      </c>
      <c r="E668" s="3">
        <v>0</v>
      </c>
      <c r="F668" s="3">
        <v>0</v>
      </c>
      <c r="G668" s="18">
        <f t="shared" si="57"/>
        <v>0</v>
      </c>
    </row>
    <row r="669" spans="2:7" x14ac:dyDescent="0.35">
      <c r="B669" s="32" t="s">
        <v>2544</v>
      </c>
      <c r="C669" s="5" t="s">
        <v>759</v>
      </c>
      <c r="D669" s="5" t="s">
        <v>760</v>
      </c>
      <c r="E669" s="3">
        <v>2546267</v>
      </c>
      <c r="F669" s="3">
        <v>0</v>
      </c>
      <c r="G669" s="18">
        <f t="shared" si="57"/>
        <v>0</v>
      </c>
    </row>
    <row r="670" spans="2:7" x14ac:dyDescent="0.35">
      <c r="B670" s="32" t="s">
        <v>2544</v>
      </c>
      <c r="C670" s="5" t="s">
        <v>761</v>
      </c>
      <c r="D670" s="5" t="s">
        <v>368</v>
      </c>
      <c r="E670" s="3">
        <v>567100</v>
      </c>
      <c r="F670" s="3">
        <v>326081.02</v>
      </c>
      <c r="G670" s="18">
        <f t="shared" si="57"/>
        <v>558996.03428571438</v>
      </c>
    </row>
    <row r="671" spans="2:7" x14ac:dyDescent="0.35">
      <c r="B671" s="32" t="s">
        <v>2544</v>
      </c>
      <c r="C671" s="6" t="s">
        <v>762</v>
      </c>
      <c r="D671" s="6" t="s">
        <v>124</v>
      </c>
      <c r="E671" s="7">
        <v>0</v>
      </c>
      <c r="F671" s="7">
        <v>0</v>
      </c>
      <c r="G671" s="43">
        <f t="shared" si="57"/>
        <v>0</v>
      </c>
    </row>
    <row r="672" spans="2:7" s="8" customFormat="1" x14ac:dyDescent="0.35">
      <c r="B672" s="33" t="s">
        <v>2546</v>
      </c>
      <c r="C672" s="5"/>
      <c r="D672" s="5"/>
      <c r="E672" s="10">
        <f>SUM(E635:E671)</f>
        <v>11842409</v>
      </c>
      <c r="F672" s="10">
        <f t="shared" ref="F672:G672" si="58">SUM(F635:F671)</f>
        <v>4390762.38</v>
      </c>
      <c r="G672" s="22">
        <f t="shared" si="58"/>
        <v>7527021.2228571437</v>
      </c>
    </row>
    <row r="673" spans="1:7" s="8" customFormat="1" ht="8.25" customHeight="1" x14ac:dyDescent="0.35">
      <c r="B673" s="23"/>
      <c r="E673" s="39"/>
      <c r="F673" s="39"/>
      <c r="G673" s="40"/>
    </row>
    <row r="674" spans="1:7" s="8" customFormat="1" ht="15" thickBot="1" x14ac:dyDescent="0.4">
      <c r="B674" s="35" t="s">
        <v>2548</v>
      </c>
      <c r="C674" s="25"/>
      <c r="D674" s="25"/>
      <c r="E674" s="26">
        <f>+E633+E672</f>
        <v>1162913</v>
      </c>
      <c r="F674" s="26">
        <f t="shared" ref="F674:G674" si="59">+F633+F672</f>
        <v>-630374.37999999989</v>
      </c>
      <c r="G674" s="27">
        <f t="shared" si="59"/>
        <v>-1080641.7942857128</v>
      </c>
    </row>
    <row r="675" spans="1:7" s="8" customFormat="1" x14ac:dyDescent="0.35">
      <c r="E675" s="9"/>
      <c r="F675" s="9"/>
      <c r="G675" s="9"/>
    </row>
    <row r="676" spans="1:7" s="8" customFormat="1" x14ac:dyDescent="0.35">
      <c r="E676" s="9"/>
      <c r="F676" s="9"/>
      <c r="G676" s="9"/>
    </row>
    <row r="677" spans="1:7" s="8" customFormat="1" ht="15" thickBot="1" x14ac:dyDescent="0.4">
      <c r="A677" s="12" t="s">
        <v>2565</v>
      </c>
      <c r="B677" s="28" t="s">
        <v>2565</v>
      </c>
      <c r="E677" s="9"/>
      <c r="F677" s="9"/>
      <c r="G677" s="9"/>
    </row>
    <row r="678" spans="1:7" x14ac:dyDescent="0.35">
      <c r="B678" s="31" t="s">
        <v>2543</v>
      </c>
      <c r="C678" s="14" t="s">
        <v>763</v>
      </c>
      <c r="D678" s="14" t="s">
        <v>764</v>
      </c>
      <c r="E678" s="15">
        <v>-3300000</v>
      </c>
      <c r="F678" s="15">
        <f>2855.73-1736341.8</f>
        <v>-1733486.07</v>
      </c>
      <c r="G678" s="16">
        <f t="shared" si="57"/>
        <v>-2971690.4057142856</v>
      </c>
    </row>
    <row r="679" spans="1:7" x14ac:dyDescent="0.35">
      <c r="B679" s="32" t="s">
        <v>2543</v>
      </c>
      <c r="C679" s="5" t="s">
        <v>765</v>
      </c>
      <c r="D679" s="5" t="s">
        <v>766</v>
      </c>
      <c r="E679" s="3">
        <v>600000</v>
      </c>
      <c r="F679" s="3">
        <v>369592.7</v>
      </c>
      <c r="G679" s="18">
        <f t="shared" si="57"/>
        <v>633587.48571428575</v>
      </c>
    </row>
    <row r="680" spans="1:7" x14ac:dyDescent="0.35">
      <c r="B680" s="32" t="s">
        <v>2543</v>
      </c>
      <c r="C680" s="5" t="s">
        <v>767</v>
      </c>
      <c r="D680" s="5" t="s">
        <v>768</v>
      </c>
      <c r="E680" s="3">
        <v>0</v>
      </c>
      <c r="F680" s="3">
        <v>0</v>
      </c>
      <c r="G680" s="18">
        <f t="shared" si="57"/>
        <v>0</v>
      </c>
    </row>
    <row r="681" spans="1:7" x14ac:dyDescent="0.35">
      <c r="B681" s="32" t="s">
        <v>2543</v>
      </c>
      <c r="C681" s="5" t="s">
        <v>769</v>
      </c>
      <c r="D681" s="5" t="s">
        <v>770</v>
      </c>
      <c r="E681" s="3">
        <v>0</v>
      </c>
      <c r="F681" s="3">
        <f>784.15-4265.54</f>
        <v>-3481.39</v>
      </c>
      <c r="G681" s="18">
        <f t="shared" si="57"/>
        <v>-5968.0971428571429</v>
      </c>
    </row>
    <row r="682" spans="1:7" x14ac:dyDescent="0.35">
      <c r="B682" s="32" t="s">
        <v>2543</v>
      </c>
      <c r="C682" s="5" t="s">
        <v>771</v>
      </c>
      <c r="D682" s="5" t="s">
        <v>126</v>
      </c>
      <c r="E682" s="3">
        <v>0</v>
      </c>
      <c r="F682" s="3">
        <v>0</v>
      </c>
      <c r="G682" s="18">
        <f t="shared" si="57"/>
        <v>0</v>
      </c>
    </row>
    <row r="683" spans="1:7" x14ac:dyDescent="0.35">
      <c r="B683" s="32" t="s">
        <v>2543</v>
      </c>
      <c r="C683" s="5" t="s">
        <v>772</v>
      </c>
      <c r="D683" s="5" t="s">
        <v>16</v>
      </c>
      <c r="E683" s="3">
        <v>-2800000</v>
      </c>
      <c r="F683" s="3">
        <v>0</v>
      </c>
      <c r="G683" s="18">
        <f t="shared" si="57"/>
        <v>0</v>
      </c>
    </row>
    <row r="684" spans="1:7" x14ac:dyDescent="0.35">
      <c r="B684" s="32" t="s">
        <v>2543</v>
      </c>
      <c r="C684" s="5" t="s">
        <v>773</v>
      </c>
      <c r="D684" s="5" t="s">
        <v>30</v>
      </c>
      <c r="E684" s="3">
        <v>0</v>
      </c>
      <c r="F684" s="3">
        <v>0</v>
      </c>
      <c r="G684" s="18">
        <f t="shared" si="57"/>
        <v>0</v>
      </c>
    </row>
    <row r="685" spans="1:7" x14ac:dyDescent="0.35">
      <c r="B685" s="32" t="s">
        <v>2543</v>
      </c>
      <c r="C685" s="5" t="s">
        <v>774</v>
      </c>
      <c r="D685" s="5" t="s">
        <v>32</v>
      </c>
      <c r="E685" s="3">
        <v>0</v>
      </c>
      <c r="F685" s="3">
        <v>0</v>
      </c>
      <c r="G685" s="18">
        <f t="shared" si="57"/>
        <v>0</v>
      </c>
    </row>
    <row r="686" spans="1:7" s="8" customFormat="1" x14ac:dyDescent="0.35">
      <c r="B686" s="33" t="s">
        <v>2545</v>
      </c>
      <c r="C686" s="5"/>
      <c r="D686" s="5"/>
      <c r="E686" s="10">
        <f>SUM(E676:E685)</f>
        <v>-5500000</v>
      </c>
      <c r="F686" s="10">
        <f t="shared" ref="F686" si="60">SUM(F676:F685)</f>
        <v>-1367374.76</v>
      </c>
      <c r="G686" s="22">
        <f t="shared" ref="G686" si="61">SUM(G676:G685)</f>
        <v>-2344071.017142857</v>
      </c>
    </row>
    <row r="687" spans="1:7" s="8" customFormat="1" x14ac:dyDescent="0.35">
      <c r="B687" s="23"/>
      <c r="E687" s="9"/>
      <c r="F687" s="9"/>
      <c r="G687" s="21"/>
    </row>
    <row r="688" spans="1:7" x14ac:dyDescent="0.35">
      <c r="B688" s="44" t="s">
        <v>2544</v>
      </c>
      <c r="C688" s="5" t="s">
        <v>775</v>
      </c>
      <c r="D688" s="5" t="s">
        <v>34</v>
      </c>
      <c r="E688" s="3">
        <v>849678</v>
      </c>
      <c r="F688" s="3">
        <f>351265.58-829</f>
        <v>350436.58</v>
      </c>
      <c r="G688" s="18">
        <f t="shared" si="57"/>
        <v>600748.42285714287</v>
      </c>
    </row>
    <row r="689" spans="2:7" x14ac:dyDescent="0.35">
      <c r="B689" s="44" t="s">
        <v>2544</v>
      </c>
      <c r="C689" s="5" t="s">
        <v>776</v>
      </c>
      <c r="D689" s="5" t="s">
        <v>36</v>
      </c>
      <c r="E689" s="3">
        <v>70807</v>
      </c>
      <c r="F689" s="3">
        <v>57873.22</v>
      </c>
      <c r="G689" s="18">
        <f t="shared" si="57"/>
        <v>99211.234285714294</v>
      </c>
    </row>
    <row r="690" spans="2:7" x14ac:dyDescent="0.35">
      <c r="B690" s="44" t="s">
        <v>2544</v>
      </c>
      <c r="C690" s="5" t="s">
        <v>777</v>
      </c>
      <c r="D690" s="5" t="s">
        <v>38</v>
      </c>
      <c r="E690" s="3">
        <v>68559</v>
      </c>
      <c r="F690" s="3">
        <v>18401.849999999999</v>
      </c>
      <c r="G690" s="18">
        <f t="shared" si="57"/>
        <v>31546.028571428567</v>
      </c>
    </row>
    <row r="691" spans="2:7" x14ac:dyDescent="0.35">
      <c r="B691" s="44" t="s">
        <v>2544</v>
      </c>
      <c r="C691" s="5" t="s">
        <v>778</v>
      </c>
      <c r="D691" s="5" t="s">
        <v>40</v>
      </c>
      <c r="E691" s="3">
        <v>0</v>
      </c>
      <c r="F691" s="3">
        <v>0</v>
      </c>
      <c r="G691" s="18">
        <f t="shared" si="57"/>
        <v>0</v>
      </c>
    </row>
    <row r="692" spans="2:7" x14ac:dyDescent="0.35">
      <c r="B692" s="44" t="s">
        <v>2544</v>
      </c>
      <c r="C692" s="5" t="s">
        <v>779</v>
      </c>
      <c r="D692" s="5" t="s">
        <v>526</v>
      </c>
      <c r="E692" s="3">
        <v>12815</v>
      </c>
      <c r="F692" s="3">
        <v>2905.28</v>
      </c>
      <c r="G692" s="18">
        <f t="shared" si="57"/>
        <v>4980.4800000000005</v>
      </c>
    </row>
    <row r="693" spans="2:7" x14ac:dyDescent="0.35">
      <c r="B693" s="44" t="s">
        <v>2544</v>
      </c>
      <c r="C693" s="5" t="s">
        <v>780</v>
      </c>
      <c r="D693" s="5" t="s">
        <v>197</v>
      </c>
      <c r="E693" s="3">
        <v>0</v>
      </c>
      <c r="F693" s="3">
        <v>0</v>
      </c>
      <c r="G693" s="18">
        <f t="shared" si="57"/>
        <v>0</v>
      </c>
    </row>
    <row r="694" spans="2:7" x14ac:dyDescent="0.35">
      <c r="B694" s="44" t="s">
        <v>2544</v>
      </c>
      <c r="C694" s="5" t="s">
        <v>781</v>
      </c>
      <c r="D694" s="5" t="s">
        <v>42</v>
      </c>
      <c r="E694" s="3">
        <v>119267</v>
      </c>
      <c r="F694" s="3">
        <v>43629.73</v>
      </c>
      <c r="G694" s="18">
        <f t="shared" si="57"/>
        <v>74793.822857142863</v>
      </c>
    </row>
    <row r="695" spans="2:7" x14ac:dyDescent="0.35">
      <c r="B695" s="44" t="s">
        <v>2544</v>
      </c>
      <c r="C695" s="5" t="s">
        <v>782</v>
      </c>
      <c r="D695" s="5" t="s">
        <v>44</v>
      </c>
      <c r="E695" s="3">
        <v>8497</v>
      </c>
      <c r="F695" s="3">
        <v>3294.33</v>
      </c>
      <c r="G695" s="18">
        <f t="shared" si="57"/>
        <v>5647.4228571428575</v>
      </c>
    </row>
    <row r="696" spans="2:7" x14ac:dyDescent="0.35">
      <c r="B696" s="44" t="s">
        <v>2544</v>
      </c>
      <c r="C696" s="5" t="s">
        <v>783</v>
      </c>
      <c r="D696" s="5" t="s">
        <v>46</v>
      </c>
      <c r="E696" s="3">
        <v>8497</v>
      </c>
      <c r="F696" s="3">
        <v>177.58</v>
      </c>
      <c r="G696" s="18">
        <f t="shared" si="57"/>
        <v>304.4228571428572</v>
      </c>
    </row>
    <row r="697" spans="2:7" x14ac:dyDescent="0.35">
      <c r="B697" s="44" t="s">
        <v>2544</v>
      </c>
      <c r="C697" s="5" t="s">
        <v>784</v>
      </c>
      <c r="D697" s="5" t="s">
        <v>50</v>
      </c>
      <c r="E697" s="3">
        <v>8497</v>
      </c>
      <c r="F697" s="3">
        <v>2459.94</v>
      </c>
      <c r="G697" s="18">
        <f t="shared" si="57"/>
        <v>4217.04</v>
      </c>
    </row>
    <row r="698" spans="2:7" x14ac:dyDescent="0.35">
      <c r="B698" s="44" t="s">
        <v>2544</v>
      </c>
      <c r="C698" s="5" t="s">
        <v>785</v>
      </c>
      <c r="D698" s="5" t="s">
        <v>52</v>
      </c>
      <c r="E698" s="3">
        <v>0</v>
      </c>
      <c r="F698" s="3">
        <f>33935.62-306.26</f>
        <v>33629.360000000001</v>
      </c>
      <c r="G698" s="18">
        <f t="shared" si="57"/>
        <v>57650.33142857143</v>
      </c>
    </row>
    <row r="699" spans="2:7" x14ac:dyDescent="0.35">
      <c r="B699" s="44" t="s">
        <v>2544</v>
      </c>
      <c r="C699" s="5" t="s">
        <v>786</v>
      </c>
      <c r="D699" s="5" t="s">
        <v>298</v>
      </c>
      <c r="E699" s="3">
        <v>675000</v>
      </c>
      <c r="F699" s="3">
        <v>0</v>
      </c>
      <c r="G699" s="18">
        <f t="shared" si="57"/>
        <v>0</v>
      </c>
    </row>
    <row r="700" spans="2:7" x14ac:dyDescent="0.35">
      <c r="B700" s="44" t="s">
        <v>2544</v>
      </c>
      <c r="C700" s="5" t="s">
        <v>787</v>
      </c>
      <c r="D700" s="5" t="s">
        <v>64</v>
      </c>
      <c r="E700" s="3">
        <v>1412000</v>
      </c>
      <c r="F700" s="3">
        <v>0</v>
      </c>
      <c r="G700" s="18">
        <f t="shared" si="57"/>
        <v>0</v>
      </c>
    </row>
    <row r="701" spans="2:7" x14ac:dyDescent="0.35">
      <c r="B701" s="44" t="s">
        <v>2544</v>
      </c>
      <c r="C701" s="5" t="s">
        <v>788</v>
      </c>
      <c r="D701" s="5" t="s">
        <v>66</v>
      </c>
      <c r="E701" s="3">
        <v>0</v>
      </c>
      <c r="F701" s="3">
        <v>0</v>
      </c>
      <c r="G701" s="18">
        <f t="shared" si="57"/>
        <v>0</v>
      </c>
    </row>
    <row r="702" spans="2:7" x14ac:dyDescent="0.35">
      <c r="B702" s="44" t="s">
        <v>2544</v>
      </c>
      <c r="C702" s="5" t="s">
        <v>789</v>
      </c>
      <c r="D702" s="5" t="s">
        <v>68</v>
      </c>
      <c r="E702" s="3">
        <v>0</v>
      </c>
      <c r="F702" s="3">
        <v>0</v>
      </c>
      <c r="G702" s="18">
        <f t="shared" si="57"/>
        <v>0</v>
      </c>
    </row>
    <row r="703" spans="2:7" x14ac:dyDescent="0.35">
      <c r="B703" s="44" t="s">
        <v>2544</v>
      </c>
      <c r="C703" s="5" t="s">
        <v>790</v>
      </c>
      <c r="D703" s="5" t="s">
        <v>90</v>
      </c>
      <c r="E703" s="3">
        <v>6000</v>
      </c>
      <c r="F703" s="3">
        <v>6000</v>
      </c>
      <c r="G703" s="18">
        <f t="shared" si="57"/>
        <v>10285.714285714286</v>
      </c>
    </row>
    <row r="704" spans="2:7" x14ac:dyDescent="0.35">
      <c r="B704" s="44" t="s">
        <v>2544</v>
      </c>
      <c r="C704" s="5" t="s">
        <v>791</v>
      </c>
      <c r="D704" s="5" t="s">
        <v>440</v>
      </c>
      <c r="E704" s="3">
        <v>9000</v>
      </c>
      <c r="F704" s="3">
        <v>194.56</v>
      </c>
      <c r="G704" s="18">
        <f t="shared" si="57"/>
        <v>333.53142857142859</v>
      </c>
    </row>
    <row r="705" spans="2:7" x14ac:dyDescent="0.35">
      <c r="B705" s="44" t="s">
        <v>2544</v>
      </c>
      <c r="C705" s="5" t="s">
        <v>792</v>
      </c>
      <c r="D705" s="5" t="s">
        <v>94</v>
      </c>
      <c r="E705" s="3">
        <v>0</v>
      </c>
      <c r="F705" s="3">
        <f>1365.15-96.5</f>
        <v>1268.6500000000001</v>
      </c>
      <c r="G705" s="18">
        <f t="shared" si="57"/>
        <v>2174.8285714285716</v>
      </c>
    </row>
    <row r="706" spans="2:7" x14ac:dyDescent="0.35">
      <c r="B706" s="44" t="s">
        <v>2544</v>
      </c>
      <c r="C706" s="5" t="s">
        <v>793</v>
      </c>
      <c r="D706" s="5" t="s">
        <v>541</v>
      </c>
      <c r="E706" s="3">
        <v>0</v>
      </c>
      <c r="F706" s="3">
        <v>0</v>
      </c>
      <c r="G706" s="18">
        <f t="shared" si="57"/>
        <v>0</v>
      </c>
    </row>
    <row r="707" spans="2:7" x14ac:dyDescent="0.35">
      <c r="B707" s="44" t="s">
        <v>2544</v>
      </c>
      <c r="C707" s="5" t="s">
        <v>794</v>
      </c>
      <c r="D707" s="5" t="s">
        <v>543</v>
      </c>
      <c r="E707" s="3">
        <v>117600</v>
      </c>
      <c r="F707" s="3">
        <v>39477.07</v>
      </c>
      <c r="G707" s="18">
        <f t="shared" si="57"/>
        <v>67674.97714285714</v>
      </c>
    </row>
    <row r="708" spans="2:7" x14ac:dyDescent="0.35">
      <c r="B708" s="44" t="s">
        <v>2544</v>
      </c>
      <c r="C708" s="5" t="s">
        <v>795</v>
      </c>
      <c r="D708" s="5" t="s">
        <v>796</v>
      </c>
      <c r="E708" s="3">
        <v>5041</v>
      </c>
      <c r="F708" s="3">
        <f>7455.95-61.91</f>
        <v>7394.04</v>
      </c>
      <c r="G708" s="18">
        <f t="shared" si="57"/>
        <v>12675.497142857141</v>
      </c>
    </row>
    <row r="709" spans="2:7" x14ac:dyDescent="0.35">
      <c r="B709" s="44" t="s">
        <v>2544</v>
      </c>
      <c r="C709" s="5" t="s">
        <v>797</v>
      </c>
      <c r="D709" s="5" t="s">
        <v>98</v>
      </c>
      <c r="E709" s="3">
        <v>14153</v>
      </c>
      <c r="F709" s="3">
        <v>21118.57</v>
      </c>
      <c r="G709" s="18">
        <f t="shared" si="57"/>
        <v>36203.262857142858</v>
      </c>
    </row>
    <row r="710" spans="2:7" x14ac:dyDescent="0.35">
      <c r="B710" s="44" t="s">
        <v>2544</v>
      </c>
      <c r="C710" s="5" t="s">
        <v>798</v>
      </c>
      <c r="D710" s="5" t="s">
        <v>748</v>
      </c>
      <c r="E710" s="3">
        <v>0</v>
      </c>
      <c r="F710" s="3">
        <v>0</v>
      </c>
      <c r="G710" s="18">
        <f t="shared" si="57"/>
        <v>0</v>
      </c>
    </row>
    <row r="711" spans="2:7" x14ac:dyDescent="0.35">
      <c r="B711" s="44" t="s">
        <v>2544</v>
      </c>
      <c r="C711" s="5" t="s">
        <v>799</v>
      </c>
      <c r="D711" s="5" t="s">
        <v>750</v>
      </c>
      <c r="E711" s="3">
        <v>0</v>
      </c>
      <c r="F711" s="3">
        <v>0</v>
      </c>
      <c r="G711" s="18">
        <f t="shared" si="57"/>
        <v>0</v>
      </c>
    </row>
    <row r="712" spans="2:7" x14ac:dyDescent="0.35">
      <c r="B712" s="44" t="s">
        <v>2544</v>
      </c>
      <c r="C712" s="5" t="s">
        <v>800</v>
      </c>
      <c r="D712" s="5" t="s">
        <v>242</v>
      </c>
      <c r="E712" s="3">
        <v>0</v>
      </c>
      <c r="F712" s="3">
        <v>0</v>
      </c>
      <c r="G712" s="18">
        <f t="shared" si="57"/>
        <v>0</v>
      </c>
    </row>
    <row r="713" spans="2:7" x14ac:dyDescent="0.35">
      <c r="B713" s="44" t="s">
        <v>2544</v>
      </c>
      <c r="C713" s="5" t="s">
        <v>801</v>
      </c>
      <c r="D713" s="5" t="s">
        <v>417</v>
      </c>
      <c r="E713" s="3">
        <v>50000</v>
      </c>
      <c r="F713" s="3">
        <v>82643.02</v>
      </c>
      <c r="G713" s="18">
        <f t="shared" si="57"/>
        <v>141673.74857142859</v>
      </c>
    </row>
    <row r="714" spans="2:7" x14ac:dyDescent="0.35">
      <c r="B714" s="44" t="s">
        <v>2544</v>
      </c>
      <c r="C714" s="5" t="s">
        <v>802</v>
      </c>
      <c r="D714" s="5" t="s">
        <v>548</v>
      </c>
      <c r="E714" s="3">
        <v>70000</v>
      </c>
      <c r="F714" s="3">
        <v>19566.189999999999</v>
      </c>
      <c r="G714" s="18">
        <f t="shared" si="57"/>
        <v>33542.039999999994</v>
      </c>
    </row>
    <row r="715" spans="2:7" x14ac:dyDescent="0.35">
      <c r="B715" s="44" t="s">
        <v>2544</v>
      </c>
      <c r="C715" s="5" t="s">
        <v>803</v>
      </c>
      <c r="D715" s="5" t="s">
        <v>120</v>
      </c>
      <c r="E715" s="3">
        <v>0</v>
      </c>
      <c r="F715" s="3">
        <v>0</v>
      </c>
      <c r="G715" s="18">
        <f t="shared" si="57"/>
        <v>0</v>
      </c>
    </row>
    <row r="716" spans="2:7" x14ac:dyDescent="0.35">
      <c r="B716" s="44" t="s">
        <v>2544</v>
      </c>
      <c r="C716" s="5" t="s">
        <v>804</v>
      </c>
      <c r="D716" s="5" t="s">
        <v>420</v>
      </c>
      <c r="E716" s="3">
        <v>0</v>
      </c>
      <c r="F716" s="3">
        <v>0</v>
      </c>
      <c r="G716" s="18">
        <f t="shared" si="57"/>
        <v>0</v>
      </c>
    </row>
    <row r="717" spans="2:7" x14ac:dyDescent="0.35">
      <c r="B717" s="44" t="s">
        <v>2544</v>
      </c>
      <c r="C717" s="5" t="s">
        <v>805</v>
      </c>
      <c r="D717" s="5" t="s">
        <v>760</v>
      </c>
      <c r="E717" s="3">
        <v>2964292</v>
      </c>
      <c r="F717" s="3">
        <v>0</v>
      </c>
      <c r="G717" s="18">
        <f t="shared" si="57"/>
        <v>0</v>
      </c>
    </row>
    <row r="718" spans="2:7" x14ac:dyDescent="0.35">
      <c r="B718" s="44" t="s">
        <v>2544</v>
      </c>
      <c r="C718" s="5" t="s">
        <v>806</v>
      </c>
      <c r="D718" s="5" t="s">
        <v>368</v>
      </c>
      <c r="E718" s="3">
        <v>114675</v>
      </c>
      <c r="F718" s="3">
        <v>98534.11</v>
      </c>
      <c r="G718" s="18">
        <f t="shared" ref="G718:G771" si="62">+F718/7*12</f>
        <v>168915.61714285714</v>
      </c>
    </row>
    <row r="719" spans="2:7" x14ac:dyDescent="0.35">
      <c r="B719" s="45" t="s">
        <v>2544</v>
      </c>
      <c r="C719" s="6" t="s">
        <v>807</v>
      </c>
      <c r="D719" s="6" t="s">
        <v>124</v>
      </c>
      <c r="E719" s="7">
        <v>0</v>
      </c>
      <c r="F719" s="7">
        <v>0</v>
      </c>
      <c r="G719" s="43">
        <f t="shared" si="62"/>
        <v>0</v>
      </c>
    </row>
    <row r="720" spans="2:7" s="8" customFormat="1" x14ac:dyDescent="0.35">
      <c r="B720" s="33" t="s">
        <v>2546</v>
      </c>
      <c r="C720" s="5"/>
      <c r="D720" s="5"/>
      <c r="E720" s="10">
        <f>SUM(E688:E719)</f>
        <v>6584378</v>
      </c>
      <c r="F720" s="10">
        <f t="shared" ref="F720:G720" si="63">SUM(F688:F719)</f>
        <v>789004.08</v>
      </c>
      <c r="G720" s="22">
        <f t="shared" si="63"/>
        <v>1352578.422857143</v>
      </c>
    </row>
    <row r="721" spans="1:7" s="8" customFormat="1" ht="6.75" customHeight="1" x14ac:dyDescent="0.35">
      <c r="B721" s="23"/>
      <c r="E721" s="39"/>
      <c r="F721" s="39"/>
      <c r="G721" s="40"/>
    </row>
    <row r="722" spans="1:7" s="8" customFormat="1" ht="15" thickBot="1" x14ac:dyDescent="0.4">
      <c r="B722" s="35" t="s">
        <v>2548</v>
      </c>
      <c r="C722" s="25"/>
      <c r="D722" s="25"/>
      <c r="E722" s="26">
        <f>+E686+E720</f>
        <v>1084378</v>
      </c>
      <c r="F722" s="26">
        <f t="shared" ref="F722:G722" si="64">+F686+F720</f>
        <v>-578370.68000000005</v>
      </c>
      <c r="G722" s="27">
        <f t="shared" si="64"/>
        <v>-991492.59428571397</v>
      </c>
    </row>
    <row r="723" spans="1:7" s="8" customFormat="1" x14ac:dyDescent="0.35">
      <c r="B723" s="30"/>
      <c r="E723" s="9"/>
      <c r="F723" s="9"/>
      <c r="G723" s="9"/>
    </row>
    <row r="724" spans="1:7" s="8" customFormat="1" x14ac:dyDescent="0.35">
      <c r="B724" s="30"/>
      <c r="E724" s="9"/>
      <c r="F724" s="9"/>
      <c r="G724" s="9"/>
    </row>
    <row r="725" spans="1:7" s="8" customFormat="1" ht="15" thickBot="1" x14ac:dyDescent="0.4">
      <c r="A725" s="12" t="s">
        <v>2592</v>
      </c>
      <c r="B725" s="12" t="s">
        <v>2566</v>
      </c>
      <c r="E725" s="9"/>
      <c r="F725" s="9"/>
      <c r="G725" s="9"/>
    </row>
    <row r="726" spans="1:7" x14ac:dyDescent="0.35">
      <c r="B726" s="31" t="s">
        <v>2543</v>
      </c>
      <c r="C726" s="14" t="s">
        <v>808</v>
      </c>
      <c r="D726" s="14" t="s">
        <v>809</v>
      </c>
      <c r="E726" s="15">
        <v>-2967684</v>
      </c>
      <c r="F726" s="15">
        <f>90-1514410</f>
        <v>-1514320</v>
      </c>
      <c r="G726" s="16">
        <f t="shared" si="62"/>
        <v>-2595977.1428571427</v>
      </c>
    </row>
    <row r="727" spans="1:7" x14ac:dyDescent="0.35">
      <c r="B727" s="32" t="s">
        <v>2543</v>
      </c>
      <c r="C727" s="5" t="s">
        <v>810</v>
      </c>
      <c r="D727" s="5" t="s">
        <v>811</v>
      </c>
      <c r="E727" s="3">
        <v>1208321</v>
      </c>
      <c r="F727" s="3">
        <v>538112.97</v>
      </c>
      <c r="G727" s="18">
        <f t="shared" si="62"/>
        <v>922479.37714285706</v>
      </c>
    </row>
    <row r="728" spans="1:7" x14ac:dyDescent="0.35">
      <c r="B728" s="32" t="s">
        <v>2543</v>
      </c>
      <c r="C728" s="5" t="s">
        <v>812</v>
      </c>
      <c r="D728" s="5" t="s">
        <v>813</v>
      </c>
      <c r="E728" s="3">
        <v>-2791776</v>
      </c>
      <c r="F728" s="3">
        <f>176630.52-1905569.09</f>
        <v>-1728938.57</v>
      </c>
      <c r="G728" s="18">
        <f t="shared" si="62"/>
        <v>-2963894.6914285715</v>
      </c>
    </row>
    <row r="729" spans="1:7" x14ac:dyDescent="0.35">
      <c r="B729" s="32" t="s">
        <v>2543</v>
      </c>
      <c r="C729" s="5" t="s">
        <v>814</v>
      </c>
      <c r="D729" s="5" t="s">
        <v>815</v>
      </c>
      <c r="E729" s="3">
        <v>1059172</v>
      </c>
      <c r="F729" s="3">
        <v>524485.78</v>
      </c>
      <c r="G729" s="18">
        <f t="shared" si="62"/>
        <v>899118.4800000001</v>
      </c>
    </row>
    <row r="730" spans="1:7" x14ac:dyDescent="0.35">
      <c r="B730" s="32" t="s">
        <v>2543</v>
      </c>
      <c r="C730" s="5" t="s">
        <v>816</v>
      </c>
      <c r="D730" s="5" t="s">
        <v>817</v>
      </c>
      <c r="E730" s="3">
        <v>-4800</v>
      </c>
      <c r="F730" s="3">
        <f>196.8-1821.9</f>
        <v>-1625.1000000000001</v>
      </c>
      <c r="G730" s="18">
        <f t="shared" si="62"/>
        <v>-2785.8857142857146</v>
      </c>
    </row>
    <row r="731" spans="1:7" x14ac:dyDescent="0.35">
      <c r="B731" s="32" t="s">
        <v>2543</v>
      </c>
      <c r="C731" s="5" t="s">
        <v>818</v>
      </c>
      <c r="D731" s="5" t="s">
        <v>126</v>
      </c>
      <c r="E731" s="3">
        <v>0</v>
      </c>
      <c r="F731" s="3">
        <v>0</v>
      </c>
      <c r="G731" s="18">
        <f t="shared" si="62"/>
        <v>0</v>
      </c>
    </row>
    <row r="732" spans="1:7" x14ac:dyDescent="0.35">
      <c r="B732" s="32" t="s">
        <v>2543</v>
      </c>
      <c r="C732" s="5" t="s">
        <v>819</v>
      </c>
      <c r="D732" s="5" t="s">
        <v>16</v>
      </c>
      <c r="E732" s="3">
        <v>-4500000</v>
      </c>
      <c r="F732" s="3">
        <v>0</v>
      </c>
      <c r="G732" s="18">
        <f t="shared" si="62"/>
        <v>0</v>
      </c>
    </row>
    <row r="733" spans="1:7" x14ac:dyDescent="0.35">
      <c r="B733" s="32" t="s">
        <v>2543</v>
      </c>
      <c r="C733" s="5" t="s">
        <v>820</v>
      </c>
      <c r="D733" s="5" t="s">
        <v>821</v>
      </c>
      <c r="E733" s="3">
        <v>0</v>
      </c>
      <c r="F733" s="3">
        <v>0</v>
      </c>
      <c r="G733" s="18">
        <f t="shared" si="62"/>
        <v>0</v>
      </c>
    </row>
    <row r="734" spans="1:7" x14ac:dyDescent="0.35">
      <c r="B734" s="32" t="s">
        <v>2543</v>
      </c>
      <c r="C734" s="5" t="s">
        <v>822</v>
      </c>
      <c r="D734" s="5" t="s">
        <v>30</v>
      </c>
      <c r="E734" s="3">
        <v>0</v>
      </c>
      <c r="F734" s="3">
        <v>0</v>
      </c>
      <c r="G734" s="18">
        <f t="shared" si="62"/>
        <v>0</v>
      </c>
    </row>
    <row r="735" spans="1:7" x14ac:dyDescent="0.35">
      <c r="B735" s="32" t="s">
        <v>2543</v>
      </c>
      <c r="C735" s="5" t="s">
        <v>823</v>
      </c>
      <c r="D735" s="5" t="s">
        <v>32</v>
      </c>
      <c r="E735" s="3">
        <v>0</v>
      </c>
      <c r="F735" s="3">
        <v>0</v>
      </c>
      <c r="G735" s="18">
        <f t="shared" si="62"/>
        <v>0</v>
      </c>
    </row>
    <row r="736" spans="1:7" s="8" customFormat="1" x14ac:dyDescent="0.35">
      <c r="B736" s="33" t="s">
        <v>2545</v>
      </c>
      <c r="C736" s="5"/>
      <c r="D736" s="5"/>
      <c r="E736" s="10">
        <f>SUM(E726:E735)</f>
        <v>-7996767</v>
      </c>
      <c r="F736" s="10">
        <f t="shared" ref="F736:G736" si="65">SUM(F726:F735)</f>
        <v>-2182284.9200000004</v>
      </c>
      <c r="G736" s="22">
        <f t="shared" si="65"/>
        <v>-3741059.8628571425</v>
      </c>
    </row>
    <row r="737" spans="2:7" s="8" customFormat="1" x14ac:dyDescent="0.35">
      <c r="B737" s="23"/>
      <c r="E737" s="9"/>
      <c r="F737" s="9"/>
      <c r="G737" s="21"/>
    </row>
    <row r="738" spans="2:7" x14ac:dyDescent="0.35">
      <c r="B738" s="32" t="s">
        <v>2544</v>
      </c>
      <c r="C738" s="5" t="s">
        <v>824</v>
      </c>
      <c r="D738" s="5" t="s">
        <v>34</v>
      </c>
      <c r="E738" s="3">
        <v>2204609</v>
      </c>
      <c r="F738" s="3">
        <f>1003372.18-13198.74</f>
        <v>990173.44000000006</v>
      </c>
      <c r="G738" s="18">
        <f t="shared" si="62"/>
        <v>1697440.1828571432</v>
      </c>
    </row>
    <row r="739" spans="2:7" x14ac:dyDescent="0.35">
      <c r="B739" s="32" t="s">
        <v>2544</v>
      </c>
      <c r="C739" s="5" t="s">
        <v>825</v>
      </c>
      <c r="D739" s="5" t="s">
        <v>36</v>
      </c>
      <c r="E739" s="3">
        <v>183717</v>
      </c>
      <c r="F739" s="3">
        <v>156910.07</v>
      </c>
      <c r="G739" s="18">
        <f t="shared" si="62"/>
        <v>268988.69142857147</v>
      </c>
    </row>
    <row r="740" spans="2:7" x14ac:dyDescent="0.35">
      <c r="B740" s="32" t="s">
        <v>2544</v>
      </c>
      <c r="C740" s="5" t="s">
        <v>826</v>
      </c>
      <c r="D740" s="5" t="s">
        <v>38</v>
      </c>
      <c r="E740" s="3">
        <v>0</v>
      </c>
      <c r="F740" s="3">
        <v>33637.67</v>
      </c>
      <c r="G740" s="18">
        <f t="shared" si="62"/>
        <v>57664.577142857132</v>
      </c>
    </row>
    <row r="741" spans="2:7" x14ac:dyDescent="0.35">
      <c r="B741" s="32" t="s">
        <v>2544</v>
      </c>
      <c r="C741" s="5" t="s">
        <v>827</v>
      </c>
      <c r="D741" s="5" t="s">
        <v>40</v>
      </c>
      <c r="E741" s="3">
        <v>0</v>
      </c>
      <c r="F741" s="3">
        <v>0</v>
      </c>
      <c r="G741" s="18">
        <f t="shared" si="62"/>
        <v>0</v>
      </c>
    </row>
    <row r="742" spans="2:7" x14ac:dyDescent="0.35">
      <c r="B742" s="32" t="s">
        <v>2544</v>
      </c>
      <c r="C742" s="5" t="s">
        <v>828</v>
      </c>
      <c r="D742" s="5" t="s">
        <v>526</v>
      </c>
      <c r="E742" s="3">
        <v>0</v>
      </c>
      <c r="F742" s="3">
        <v>5288.66</v>
      </c>
      <c r="G742" s="18">
        <f t="shared" si="62"/>
        <v>9066.2742857142857</v>
      </c>
    </row>
    <row r="743" spans="2:7" x14ac:dyDescent="0.35">
      <c r="B743" s="32" t="s">
        <v>2544</v>
      </c>
      <c r="C743" s="5" t="s">
        <v>829</v>
      </c>
      <c r="D743" s="5" t="s">
        <v>197</v>
      </c>
      <c r="E743" s="3">
        <v>0</v>
      </c>
      <c r="F743" s="3">
        <v>0</v>
      </c>
      <c r="G743" s="18">
        <f t="shared" si="62"/>
        <v>0</v>
      </c>
    </row>
    <row r="744" spans="2:7" x14ac:dyDescent="0.35">
      <c r="B744" s="32" t="s">
        <v>2544</v>
      </c>
      <c r="C744" s="5" t="s">
        <v>830</v>
      </c>
      <c r="D744" s="5" t="s">
        <v>831</v>
      </c>
      <c r="E744" s="3">
        <v>0</v>
      </c>
      <c r="F744" s="3">
        <v>25551.18</v>
      </c>
      <c r="G744" s="18">
        <f t="shared" si="62"/>
        <v>43802.02285714286</v>
      </c>
    </row>
    <row r="745" spans="2:7" x14ac:dyDescent="0.35">
      <c r="B745" s="32" t="s">
        <v>2544</v>
      </c>
      <c r="C745" s="5" t="s">
        <v>832</v>
      </c>
      <c r="D745" s="5" t="s">
        <v>42</v>
      </c>
      <c r="E745" s="3">
        <v>304996</v>
      </c>
      <c r="F745" s="3">
        <v>202601.94</v>
      </c>
      <c r="G745" s="18">
        <f t="shared" si="62"/>
        <v>347317.6114285714</v>
      </c>
    </row>
    <row r="746" spans="2:7" x14ac:dyDescent="0.35">
      <c r="B746" s="32" t="s">
        <v>2544</v>
      </c>
      <c r="C746" s="5" t="s">
        <v>833</v>
      </c>
      <c r="D746" s="5" t="s">
        <v>44</v>
      </c>
      <c r="E746" s="3">
        <v>21835</v>
      </c>
      <c r="F746" s="3">
        <v>10499.4</v>
      </c>
      <c r="G746" s="18">
        <f t="shared" si="62"/>
        <v>17998.971428571429</v>
      </c>
    </row>
    <row r="747" spans="2:7" x14ac:dyDescent="0.35">
      <c r="B747" s="32" t="s">
        <v>2544</v>
      </c>
      <c r="C747" s="5" t="s">
        <v>834</v>
      </c>
      <c r="D747" s="5" t="s">
        <v>46</v>
      </c>
      <c r="E747" s="3">
        <v>22046</v>
      </c>
      <c r="F747" s="3">
        <v>803.86</v>
      </c>
      <c r="G747" s="18">
        <f t="shared" si="62"/>
        <v>1378.0457142857144</v>
      </c>
    </row>
    <row r="748" spans="2:7" x14ac:dyDescent="0.35">
      <c r="B748" s="32" t="s">
        <v>2544</v>
      </c>
      <c r="C748" s="5" t="s">
        <v>835</v>
      </c>
      <c r="D748" s="5" t="s">
        <v>48</v>
      </c>
      <c r="E748" s="3">
        <v>0</v>
      </c>
      <c r="F748" s="3">
        <v>0</v>
      </c>
      <c r="G748" s="18">
        <f t="shared" si="62"/>
        <v>0</v>
      </c>
    </row>
    <row r="749" spans="2:7" x14ac:dyDescent="0.35">
      <c r="B749" s="32" t="s">
        <v>2544</v>
      </c>
      <c r="C749" s="5" t="s">
        <v>836</v>
      </c>
      <c r="D749" s="5" t="s">
        <v>50</v>
      </c>
      <c r="E749" s="3">
        <v>22046</v>
      </c>
      <c r="F749" s="3">
        <v>9262.43</v>
      </c>
      <c r="G749" s="18">
        <f t="shared" si="62"/>
        <v>15878.451428571429</v>
      </c>
    </row>
    <row r="750" spans="2:7" x14ac:dyDescent="0.35">
      <c r="B750" s="32" t="s">
        <v>2544</v>
      </c>
      <c r="C750" s="5" t="s">
        <v>837</v>
      </c>
      <c r="D750" s="5" t="s">
        <v>52</v>
      </c>
      <c r="E750" s="3">
        <v>0</v>
      </c>
      <c r="F750" s="3">
        <v>0</v>
      </c>
      <c r="G750" s="18">
        <f t="shared" si="62"/>
        <v>0</v>
      </c>
    </row>
    <row r="751" spans="2:7" x14ac:dyDescent="0.35">
      <c r="B751" s="32" t="s">
        <v>2544</v>
      </c>
      <c r="C751" s="5" t="s">
        <v>838</v>
      </c>
      <c r="D751" s="5" t="s">
        <v>298</v>
      </c>
      <c r="E751" s="3">
        <v>699000</v>
      </c>
      <c r="F751" s="3">
        <v>0</v>
      </c>
      <c r="G751" s="18">
        <f t="shared" si="62"/>
        <v>0</v>
      </c>
    </row>
    <row r="752" spans="2:7" x14ac:dyDescent="0.35">
      <c r="B752" s="32" t="s">
        <v>2544</v>
      </c>
      <c r="C752" s="5" t="s">
        <v>839</v>
      </c>
      <c r="D752" s="5" t="s">
        <v>64</v>
      </c>
      <c r="E752" s="3">
        <v>1010000</v>
      </c>
      <c r="F752" s="3">
        <v>0</v>
      </c>
      <c r="G752" s="18">
        <f t="shared" si="62"/>
        <v>0</v>
      </c>
    </row>
    <row r="753" spans="2:7" x14ac:dyDescent="0.35">
      <c r="B753" s="32" t="s">
        <v>2544</v>
      </c>
      <c r="C753" s="5" t="s">
        <v>840</v>
      </c>
      <c r="D753" s="5" t="s">
        <v>66</v>
      </c>
      <c r="E753" s="3">
        <v>0</v>
      </c>
      <c r="F753" s="3">
        <v>0</v>
      </c>
      <c r="G753" s="18">
        <f t="shared" si="62"/>
        <v>0</v>
      </c>
    </row>
    <row r="754" spans="2:7" x14ac:dyDescent="0.35">
      <c r="B754" s="32" t="s">
        <v>2544</v>
      </c>
      <c r="C754" s="5" t="s">
        <v>841</v>
      </c>
      <c r="D754" s="5" t="s">
        <v>68</v>
      </c>
      <c r="E754" s="3">
        <v>0</v>
      </c>
      <c r="F754" s="3">
        <v>0</v>
      </c>
      <c r="G754" s="18">
        <f t="shared" si="62"/>
        <v>0</v>
      </c>
    </row>
    <row r="755" spans="2:7" x14ac:dyDescent="0.35">
      <c r="B755" s="32" t="s">
        <v>2544</v>
      </c>
      <c r="C755" s="5" t="s">
        <v>842</v>
      </c>
      <c r="D755" s="5" t="s">
        <v>90</v>
      </c>
      <c r="E755" s="3">
        <v>6000</v>
      </c>
      <c r="F755" s="3">
        <v>6000</v>
      </c>
      <c r="G755" s="18">
        <f t="shared" si="62"/>
        <v>10285.714285714286</v>
      </c>
    </row>
    <row r="756" spans="2:7" x14ac:dyDescent="0.35">
      <c r="B756" s="32" t="s">
        <v>2544</v>
      </c>
      <c r="C756" s="5" t="s">
        <v>843</v>
      </c>
      <c r="D756" s="5" t="s">
        <v>440</v>
      </c>
      <c r="E756" s="3">
        <v>15000</v>
      </c>
      <c r="F756" s="3">
        <v>3390.01</v>
      </c>
      <c r="G756" s="18">
        <f t="shared" si="62"/>
        <v>5811.4457142857145</v>
      </c>
    </row>
    <row r="757" spans="2:7" x14ac:dyDescent="0.35">
      <c r="B757" s="32" t="s">
        <v>2544</v>
      </c>
      <c r="C757" s="5" t="s">
        <v>844</v>
      </c>
      <c r="D757" s="5" t="s">
        <v>94</v>
      </c>
      <c r="E757" s="3">
        <v>0</v>
      </c>
      <c r="F757" s="3">
        <v>0</v>
      </c>
      <c r="G757" s="18">
        <f t="shared" si="62"/>
        <v>0</v>
      </c>
    </row>
    <row r="758" spans="2:7" x14ac:dyDescent="0.35">
      <c r="B758" s="32" t="s">
        <v>2544</v>
      </c>
      <c r="C758" s="5" t="s">
        <v>845</v>
      </c>
      <c r="D758" s="5" t="s">
        <v>541</v>
      </c>
      <c r="E758" s="3">
        <v>0</v>
      </c>
      <c r="F758" s="3">
        <v>0</v>
      </c>
      <c r="G758" s="18">
        <f t="shared" si="62"/>
        <v>0</v>
      </c>
    </row>
    <row r="759" spans="2:7" x14ac:dyDescent="0.35">
      <c r="B759" s="32" t="s">
        <v>2544</v>
      </c>
      <c r="C759" s="5" t="s">
        <v>846</v>
      </c>
      <c r="D759" s="5" t="s">
        <v>543</v>
      </c>
      <c r="E759" s="3">
        <v>324800</v>
      </c>
      <c r="F759" s="3">
        <f>207395.16-287.4</f>
        <v>207107.76</v>
      </c>
      <c r="G759" s="18">
        <f t="shared" si="62"/>
        <v>355041.87428571429</v>
      </c>
    </row>
    <row r="760" spans="2:7" x14ac:dyDescent="0.35">
      <c r="B760" s="32" t="s">
        <v>2544</v>
      </c>
      <c r="C760" s="5" t="s">
        <v>847</v>
      </c>
      <c r="D760" s="5" t="s">
        <v>848</v>
      </c>
      <c r="E760" s="3">
        <v>0</v>
      </c>
      <c r="F760" s="3">
        <v>0</v>
      </c>
      <c r="G760" s="18">
        <f t="shared" si="62"/>
        <v>0</v>
      </c>
    </row>
    <row r="761" spans="2:7" x14ac:dyDescent="0.35">
      <c r="B761" s="32" t="s">
        <v>2544</v>
      </c>
      <c r="C761" s="5" t="s">
        <v>849</v>
      </c>
      <c r="D761" s="5" t="s">
        <v>98</v>
      </c>
      <c r="E761" s="3">
        <v>9914</v>
      </c>
      <c r="F761" s="3">
        <v>4656.6499999999996</v>
      </c>
      <c r="G761" s="18">
        <f t="shared" si="62"/>
        <v>7982.8285714285712</v>
      </c>
    </row>
    <row r="762" spans="2:7" x14ac:dyDescent="0.35">
      <c r="B762" s="32" t="s">
        <v>2544</v>
      </c>
      <c r="C762" s="5" t="s">
        <v>850</v>
      </c>
      <c r="D762" s="5" t="s">
        <v>851</v>
      </c>
      <c r="E762" s="3">
        <v>82000</v>
      </c>
      <c r="F762" s="3">
        <v>72991.259999999995</v>
      </c>
      <c r="G762" s="18">
        <f t="shared" si="62"/>
        <v>125127.87428571429</v>
      </c>
    </row>
    <row r="763" spans="2:7" x14ac:dyDescent="0.35">
      <c r="B763" s="32" t="s">
        <v>2544</v>
      </c>
      <c r="C763" s="5" t="s">
        <v>852</v>
      </c>
      <c r="D763" s="5" t="s">
        <v>748</v>
      </c>
      <c r="E763" s="3">
        <v>0</v>
      </c>
      <c r="F763" s="3">
        <v>0</v>
      </c>
      <c r="G763" s="18">
        <f t="shared" si="62"/>
        <v>0</v>
      </c>
    </row>
    <row r="764" spans="2:7" x14ac:dyDescent="0.35">
      <c r="B764" s="32" t="s">
        <v>2544</v>
      </c>
      <c r="C764" s="5" t="s">
        <v>853</v>
      </c>
      <c r="D764" s="5" t="s">
        <v>238</v>
      </c>
      <c r="E764" s="3">
        <v>0</v>
      </c>
      <c r="F764" s="3">
        <v>0</v>
      </c>
      <c r="G764" s="18">
        <f t="shared" si="62"/>
        <v>0</v>
      </c>
    </row>
    <row r="765" spans="2:7" x14ac:dyDescent="0.35">
      <c r="B765" s="32" t="s">
        <v>2544</v>
      </c>
      <c r="C765" s="5" t="s">
        <v>854</v>
      </c>
      <c r="D765" s="5" t="s">
        <v>240</v>
      </c>
      <c r="E765" s="3">
        <v>0</v>
      </c>
      <c r="F765" s="3">
        <v>0</v>
      </c>
      <c r="G765" s="18">
        <f t="shared" si="62"/>
        <v>0</v>
      </c>
    </row>
    <row r="766" spans="2:7" x14ac:dyDescent="0.35">
      <c r="B766" s="32" t="s">
        <v>2544</v>
      </c>
      <c r="C766" s="5" t="s">
        <v>855</v>
      </c>
      <c r="D766" s="5" t="s">
        <v>417</v>
      </c>
      <c r="E766" s="3">
        <v>200000</v>
      </c>
      <c r="F766" s="3">
        <f>257645.44-13594.55</f>
        <v>244050.89</v>
      </c>
      <c r="G766" s="18">
        <f t="shared" si="62"/>
        <v>418372.95428571431</v>
      </c>
    </row>
    <row r="767" spans="2:7" x14ac:dyDescent="0.35">
      <c r="B767" s="32" t="s">
        <v>2544</v>
      </c>
      <c r="C767" s="5" t="s">
        <v>856</v>
      </c>
      <c r="D767" s="5" t="s">
        <v>548</v>
      </c>
      <c r="E767" s="3">
        <v>300000</v>
      </c>
      <c r="F767" s="3">
        <f>240296.46-103.68</f>
        <v>240192.78</v>
      </c>
      <c r="G767" s="18">
        <f t="shared" si="62"/>
        <v>411759.0514285714</v>
      </c>
    </row>
    <row r="768" spans="2:7" x14ac:dyDescent="0.35">
      <c r="B768" s="32" t="s">
        <v>2544</v>
      </c>
      <c r="C768" s="5" t="s">
        <v>857</v>
      </c>
      <c r="D768" s="5" t="s">
        <v>120</v>
      </c>
      <c r="E768" s="3">
        <v>0</v>
      </c>
      <c r="F768" s="3">
        <v>0</v>
      </c>
      <c r="G768" s="18">
        <f t="shared" si="62"/>
        <v>0</v>
      </c>
    </row>
    <row r="769" spans="2:7" x14ac:dyDescent="0.35">
      <c r="B769" s="32" t="s">
        <v>2544</v>
      </c>
      <c r="C769" s="5" t="s">
        <v>858</v>
      </c>
      <c r="D769" s="5" t="s">
        <v>420</v>
      </c>
      <c r="E769" s="3">
        <v>0</v>
      </c>
      <c r="F769" s="3">
        <v>0</v>
      </c>
      <c r="G769" s="18">
        <f t="shared" si="62"/>
        <v>0</v>
      </c>
    </row>
    <row r="770" spans="2:7" x14ac:dyDescent="0.35">
      <c r="B770" s="32" t="s">
        <v>2544</v>
      </c>
      <c r="C770" s="5" t="s">
        <v>859</v>
      </c>
      <c r="D770" s="5" t="s">
        <v>760</v>
      </c>
      <c r="E770" s="3">
        <v>2964292</v>
      </c>
      <c r="F770" s="3">
        <v>0</v>
      </c>
      <c r="G770" s="18">
        <f t="shared" si="62"/>
        <v>0</v>
      </c>
    </row>
    <row r="771" spans="2:7" x14ac:dyDescent="0.35">
      <c r="B771" s="32" t="s">
        <v>2544</v>
      </c>
      <c r="C771" s="5" t="s">
        <v>860</v>
      </c>
      <c r="D771" s="5" t="s">
        <v>368</v>
      </c>
      <c r="E771" s="3">
        <v>48000</v>
      </c>
      <c r="F771" s="3">
        <v>24764.05</v>
      </c>
      <c r="G771" s="18">
        <f t="shared" si="62"/>
        <v>42452.657142857141</v>
      </c>
    </row>
    <row r="772" spans="2:7" x14ac:dyDescent="0.35">
      <c r="B772" s="33" t="s">
        <v>2546</v>
      </c>
      <c r="C772" s="5"/>
      <c r="D772" s="5"/>
      <c r="E772" s="10">
        <f>SUM(E738:E771)</f>
        <v>8418255</v>
      </c>
      <c r="F772" s="10">
        <f t="shared" ref="F772:G772" si="66">SUM(F738:F771)</f>
        <v>2237882.0499999993</v>
      </c>
      <c r="G772" s="22">
        <f t="shared" si="66"/>
        <v>3836369.228571428</v>
      </c>
    </row>
    <row r="773" spans="2:7" ht="8.25" customHeight="1" x14ac:dyDescent="0.35">
      <c r="B773" s="23"/>
      <c r="C773" s="8"/>
      <c r="D773" s="8"/>
      <c r="E773" s="39"/>
      <c r="F773" s="39"/>
      <c r="G773" s="40"/>
    </row>
    <row r="774" spans="2:7" ht="15" thickBot="1" x14ac:dyDescent="0.4">
      <c r="B774" s="35" t="s">
        <v>2548</v>
      </c>
      <c r="C774" s="25"/>
      <c r="D774" s="25"/>
      <c r="E774" s="26">
        <f>+E736+E772</f>
        <v>421488</v>
      </c>
      <c r="F774" s="26">
        <f t="shared" ref="F774:G774" si="67">+F736+F772</f>
        <v>55597.129999998957</v>
      </c>
      <c r="G774" s="27">
        <f t="shared" si="67"/>
        <v>95309.365714285523</v>
      </c>
    </row>
    <row r="776" spans="2:7" x14ac:dyDescent="0.35">
      <c r="B776" s="29" t="s">
        <v>2548</v>
      </c>
      <c r="C776" s="5"/>
      <c r="D776" s="5"/>
      <c r="E776" s="10">
        <f>+E20+E68+E109+E164+E181+E194+E206+E247+E256+E267+E280+E307+E317+E335+E346+E364+E372+E385+E395+E418+E430+E461+E471+E488+E502+E540+E549+E577+E585+E596+E603+E617+E633+E672+E686+E720+E736+E772</f>
        <v>13615839</v>
      </c>
      <c r="F776" s="10">
        <f t="shared" ref="F776:G776" si="68">+F20+F68+F109+F164+F181+F194+F206+F247+F256+F267+F280+F307+F317+F335+F346+F364+F372+F385+F395+F418+F430+F461+F471+F488+F502+F540+F549+F577+F585+F596+F603+F617+F633+F672+F686+F720+F736+F772</f>
        <v>-8614200.379999999</v>
      </c>
      <c r="G776" s="10">
        <f t="shared" si="68"/>
        <v>-14767200.651428571</v>
      </c>
    </row>
    <row r="779" spans="2:7" x14ac:dyDescent="0.35">
      <c r="B779" s="4" t="s">
        <v>2577</v>
      </c>
    </row>
    <row r="780" spans="2:7" x14ac:dyDescent="0.35">
      <c r="B780" t="s">
        <v>2578</v>
      </c>
    </row>
    <row r="781" spans="2:7" x14ac:dyDescent="0.35">
      <c r="B781" t="s">
        <v>2579</v>
      </c>
    </row>
    <row r="782" spans="2:7" x14ac:dyDescent="0.35">
      <c r="B782" t="s">
        <v>2583</v>
      </c>
    </row>
    <row r="783" spans="2:7" x14ac:dyDescent="0.35">
      <c r="B783" t="s">
        <v>2580</v>
      </c>
    </row>
    <row r="784" spans="2:7" x14ac:dyDescent="0.35">
      <c r="B784" t="s">
        <v>2581</v>
      </c>
    </row>
    <row r="785" spans="2:2" x14ac:dyDescent="0.35">
      <c r="B785" t="s">
        <v>2582</v>
      </c>
    </row>
    <row r="786" spans="2:2" x14ac:dyDescent="0.35">
      <c r="B786" t="s">
        <v>2584</v>
      </c>
    </row>
    <row r="787" spans="2:2" x14ac:dyDescent="0.35">
      <c r="B787" t="s">
        <v>2585</v>
      </c>
    </row>
    <row r="788" spans="2:2" x14ac:dyDescent="0.35">
      <c r="B788" t="s">
        <v>2598</v>
      </c>
    </row>
    <row r="789" spans="2:2" x14ac:dyDescent="0.35">
      <c r="B789" t="s">
        <v>2597</v>
      </c>
    </row>
  </sheetData>
  <pageMargins left="0.7" right="0.7" top="0.75" bottom="0.75" header="0.3" footer="0.3"/>
  <pageSetup orientation="portrait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8:I27"/>
  <sheetViews>
    <sheetView topLeftCell="A16" workbookViewId="0">
      <selection activeCell="B27" sqref="B27:H27"/>
    </sheetView>
  </sheetViews>
  <sheetFormatPr defaultRowHeight="14.5" x14ac:dyDescent="0.35"/>
  <sheetData>
    <row r="18" spans="1:9" ht="28.5" x14ac:dyDescent="0.65">
      <c r="A18" s="250" t="s">
        <v>2749</v>
      </c>
      <c r="B18" s="250"/>
      <c r="C18" s="250"/>
      <c r="D18" s="250"/>
      <c r="E18" s="250"/>
      <c r="F18" s="250"/>
      <c r="G18" s="250"/>
      <c r="H18" s="250"/>
      <c r="I18" s="250"/>
    </row>
    <row r="19" spans="1:9" ht="28.5" x14ac:dyDescent="0.65">
      <c r="A19" s="250" t="s">
        <v>2750</v>
      </c>
      <c r="B19" s="250"/>
      <c r="C19" s="250"/>
      <c r="D19" s="250"/>
      <c r="E19" s="250"/>
      <c r="F19" s="250"/>
      <c r="G19" s="250"/>
      <c r="H19" s="250"/>
      <c r="I19" s="250"/>
    </row>
    <row r="20" spans="1:9" ht="36" x14ac:dyDescent="0.8">
      <c r="A20" s="86"/>
      <c r="B20" s="86"/>
      <c r="C20" s="119"/>
      <c r="D20" s="119"/>
      <c r="E20" s="119"/>
      <c r="F20" s="119"/>
      <c r="G20" s="119"/>
      <c r="H20" s="86"/>
      <c r="I20" s="86"/>
    </row>
    <row r="21" spans="1:9" ht="28.5" x14ac:dyDescent="0.65">
      <c r="A21" s="250" t="s">
        <v>2753</v>
      </c>
      <c r="B21" s="250"/>
      <c r="C21" s="250"/>
      <c r="D21" s="250"/>
      <c r="E21" s="250"/>
      <c r="F21" s="250"/>
      <c r="G21" s="250"/>
      <c r="H21" s="250"/>
      <c r="I21" s="250"/>
    </row>
    <row r="27" spans="1:9" ht="18.5" x14ac:dyDescent="0.45">
      <c r="B27" s="249" t="s">
        <v>2757</v>
      </c>
      <c r="C27" s="249"/>
      <c r="D27" s="249"/>
      <c r="E27" s="249"/>
      <c r="F27" s="249"/>
      <c r="G27" s="249"/>
      <c r="H27" s="249"/>
    </row>
  </sheetData>
  <mergeCells count="4">
    <mergeCell ref="B27:H27"/>
    <mergeCell ref="A18:I18"/>
    <mergeCell ref="A19:I19"/>
    <mergeCell ref="A21:I21"/>
  </mergeCells>
  <pageMargins left="0.7" right="0.7" top="0.75" bottom="0.75" header="0.3" footer="0.3"/>
  <pageSetup orientation="portrait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44"/>
  <sheetViews>
    <sheetView topLeftCell="B1" workbookViewId="0">
      <pane ySplit="1" topLeftCell="A530" activePane="bottomLeft" state="frozen"/>
      <selection activeCell="C1" sqref="C1"/>
      <selection pane="bottomLeft" activeCell="H635" sqref="H635"/>
    </sheetView>
  </sheetViews>
  <sheetFormatPr defaultRowHeight="14.5" x14ac:dyDescent="0.35"/>
  <cols>
    <col min="1" max="1" width="16.7265625" hidden="1" customWidth="1"/>
    <col min="2" max="2" width="27.7265625" customWidth="1"/>
    <col min="3" max="3" width="19" customWidth="1"/>
    <col min="4" max="4" width="32.1796875" customWidth="1"/>
    <col min="5" max="5" width="17.26953125" style="2" customWidth="1"/>
    <col min="6" max="6" width="16.26953125" style="2" customWidth="1"/>
    <col min="7" max="10" width="16.7265625" style="2" customWidth="1"/>
    <col min="11" max="11" width="13.26953125" bestFit="1" customWidth="1"/>
    <col min="12" max="12" width="11.26953125" customWidth="1"/>
  </cols>
  <sheetData>
    <row r="1" spans="1:10" s="1" customFormat="1" ht="31.5" customHeight="1" thickBot="1" x14ac:dyDescent="0.4">
      <c r="A1" s="53" t="s">
        <v>2586</v>
      </c>
      <c r="B1" s="52" t="s">
        <v>2537</v>
      </c>
      <c r="C1" s="38" t="s">
        <v>2538</v>
      </c>
      <c r="D1" s="38" t="s">
        <v>2539</v>
      </c>
      <c r="E1" s="36" t="s">
        <v>2540</v>
      </c>
      <c r="F1" s="36" t="s">
        <v>2541</v>
      </c>
      <c r="G1" s="37" t="s">
        <v>2542</v>
      </c>
      <c r="H1" s="37" t="s">
        <v>2599</v>
      </c>
      <c r="I1" s="37" t="s">
        <v>2600</v>
      </c>
      <c r="J1" s="37" t="s">
        <v>2601</v>
      </c>
    </row>
    <row r="2" spans="1:10" s="1" customFormat="1" ht="15" customHeight="1" x14ac:dyDescent="0.35">
      <c r="A2" s="55"/>
      <c r="B2" s="56"/>
      <c r="C2" s="56"/>
      <c r="D2" s="56"/>
      <c r="E2" s="57"/>
      <c r="F2" s="57"/>
      <c r="G2" s="57"/>
      <c r="H2" s="57"/>
      <c r="I2" s="57"/>
      <c r="J2" s="57"/>
    </row>
    <row r="4" spans="1:10" ht="15" thickBot="1" x14ac:dyDescent="0.4">
      <c r="A4" s="28" t="s">
        <v>2587</v>
      </c>
      <c r="B4" s="12" t="s">
        <v>2547</v>
      </c>
    </row>
    <row r="5" spans="1:10" x14ac:dyDescent="0.35">
      <c r="B5" s="13" t="s">
        <v>2543</v>
      </c>
      <c r="C5" s="14" t="s">
        <v>1</v>
      </c>
      <c r="D5" s="14" t="s">
        <v>2</v>
      </c>
      <c r="E5" s="15">
        <v>-22000</v>
      </c>
      <c r="F5" s="15">
        <v>-23735.49</v>
      </c>
      <c r="G5" s="58">
        <f>+F5/7*12</f>
        <v>-40689.411428571431</v>
      </c>
      <c r="H5" s="61">
        <f>+G5*1.06</f>
        <v>-43130.77611428572</v>
      </c>
      <c r="I5" s="15">
        <f>+H5*1.055</f>
        <v>-45502.968800571434</v>
      </c>
      <c r="J5" s="16">
        <f>+I5*1.053</f>
        <v>-47914.62614700172</v>
      </c>
    </row>
    <row r="6" spans="1:10" x14ac:dyDescent="0.35">
      <c r="B6" s="17" t="s">
        <v>2543</v>
      </c>
      <c r="C6" s="5" t="s">
        <v>3</v>
      </c>
      <c r="D6" s="5" t="s">
        <v>4</v>
      </c>
      <c r="E6" s="3">
        <v>-3800</v>
      </c>
      <c r="F6" s="3">
        <v>-3100</v>
      </c>
      <c r="G6" s="54">
        <f t="shared" ref="G6:G70" si="0">+F6/7*12</f>
        <v>-5314.2857142857138</v>
      </c>
      <c r="H6" s="62">
        <f t="shared" ref="H6:H20" si="1">+G6*1.06</f>
        <v>-5633.1428571428569</v>
      </c>
      <c r="I6" s="3">
        <f t="shared" ref="I6:I20" si="2">+H6*1.055</f>
        <v>-5942.9657142857141</v>
      </c>
      <c r="J6" s="18">
        <f t="shared" ref="J6:J20" si="3">+I6*1.053</f>
        <v>-6257.942897142857</v>
      </c>
    </row>
    <row r="7" spans="1:10" x14ac:dyDescent="0.35">
      <c r="B7" s="17" t="s">
        <v>2543</v>
      </c>
      <c r="C7" s="5" t="s">
        <v>5</v>
      </c>
      <c r="D7" s="5" t="s">
        <v>6</v>
      </c>
      <c r="E7" s="3">
        <v>-100</v>
      </c>
      <c r="F7" s="3">
        <v>0</v>
      </c>
      <c r="G7" s="54">
        <f t="shared" si="0"/>
        <v>0</v>
      </c>
      <c r="H7" s="62">
        <f t="shared" si="1"/>
        <v>0</v>
      </c>
      <c r="I7" s="3">
        <f t="shared" si="2"/>
        <v>0</v>
      </c>
      <c r="J7" s="18">
        <f t="shared" si="3"/>
        <v>0</v>
      </c>
    </row>
    <row r="8" spans="1:10" x14ac:dyDescent="0.35">
      <c r="B8" s="17" t="s">
        <v>2543</v>
      </c>
      <c r="C8" s="5" t="s">
        <v>7</v>
      </c>
      <c r="D8" s="5" t="s">
        <v>8</v>
      </c>
      <c r="E8" s="3">
        <v>0</v>
      </c>
      <c r="F8" s="3">
        <v>-16860</v>
      </c>
      <c r="G8" s="54">
        <f t="shared" si="0"/>
        <v>-28902.857142857141</v>
      </c>
      <c r="H8" s="62">
        <f t="shared" si="1"/>
        <v>-30637.028571428571</v>
      </c>
      <c r="I8" s="3">
        <f t="shared" si="2"/>
        <v>-32322.06514285714</v>
      </c>
      <c r="J8" s="18">
        <f t="shared" si="3"/>
        <v>-34035.134595428564</v>
      </c>
    </row>
    <row r="9" spans="1:10" x14ac:dyDescent="0.35">
      <c r="B9" s="17" t="s">
        <v>2543</v>
      </c>
      <c r="C9" s="5" t="s">
        <v>9</v>
      </c>
      <c r="D9" s="5" t="s">
        <v>10</v>
      </c>
      <c r="E9" s="3">
        <v>-640</v>
      </c>
      <c r="F9" s="3">
        <v>-390</v>
      </c>
      <c r="G9" s="54">
        <f t="shared" si="0"/>
        <v>-668.57142857142856</v>
      </c>
      <c r="H9" s="62">
        <f t="shared" si="1"/>
        <v>-708.68571428571431</v>
      </c>
      <c r="I9" s="3">
        <f t="shared" si="2"/>
        <v>-747.66342857142854</v>
      </c>
      <c r="J9" s="18">
        <f t="shared" si="3"/>
        <v>-787.28959028571421</v>
      </c>
    </row>
    <row r="10" spans="1:10" x14ac:dyDescent="0.35">
      <c r="B10" s="17" t="s">
        <v>2543</v>
      </c>
      <c r="C10" s="5" t="s">
        <v>11</v>
      </c>
      <c r="D10" s="5" t="s">
        <v>12</v>
      </c>
      <c r="E10" s="3">
        <v>0</v>
      </c>
      <c r="F10" s="3">
        <v>-489.05</v>
      </c>
      <c r="G10" s="54">
        <f t="shared" si="0"/>
        <v>-838.37142857142862</v>
      </c>
      <c r="H10" s="62">
        <f t="shared" si="1"/>
        <v>-888.67371428571437</v>
      </c>
      <c r="I10" s="3">
        <f t="shared" si="2"/>
        <v>-937.55076857142865</v>
      </c>
      <c r="J10" s="18">
        <f t="shared" si="3"/>
        <v>-987.24095930571434</v>
      </c>
    </row>
    <row r="11" spans="1:10" x14ac:dyDescent="0.35">
      <c r="B11" s="17" t="s">
        <v>2543</v>
      </c>
      <c r="C11" s="5" t="s">
        <v>13</v>
      </c>
      <c r="D11" s="5" t="s">
        <v>14</v>
      </c>
      <c r="E11" s="3">
        <v>0</v>
      </c>
      <c r="F11" s="3">
        <v>0</v>
      </c>
      <c r="G11" s="54">
        <f t="shared" si="0"/>
        <v>0</v>
      </c>
      <c r="H11" s="62">
        <f t="shared" si="1"/>
        <v>0</v>
      </c>
      <c r="I11" s="3">
        <f t="shared" si="2"/>
        <v>0</v>
      </c>
      <c r="J11" s="18">
        <f t="shared" si="3"/>
        <v>0</v>
      </c>
    </row>
    <row r="12" spans="1:10" x14ac:dyDescent="0.35">
      <c r="B12" s="17" t="s">
        <v>2543</v>
      </c>
      <c r="C12" s="5" t="s">
        <v>15</v>
      </c>
      <c r="D12" s="5" t="s">
        <v>16</v>
      </c>
      <c r="E12" s="3">
        <v>-4066000</v>
      </c>
      <c r="F12" s="3">
        <v>-10696000</v>
      </c>
      <c r="G12" s="54">
        <f t="shared" si="0"/>
        <v>-18336000</v>
      </c>
      <c r="H12" s="62">
        <f t="shared" si="1"/>
        <v>-19436160</v>
      </c>
      <c r="I12" s="3">
        <f t="shared" si="2"/>
        <v>-20505148.799999997</v>
      </c>
      <c r="J12" s="18">
        <f t="shared" si="3"/>
        <v>-21591921.686399996</v>
      </c>
    </row>
    <row r="13" spans="1:10" x14ac:dyDescent="0.35">
      <c r="B13" s="17" t="s">
        <v>2543</v>
      </c>
      <c r="C13" s="5" t="s">
        <v>17</v>
      </c>
      <c r="D13" s="5" t="s">
        <v>18</v>
      </c>
      <c r="E13" s="3">
        <v>0</v>
      </c>
      <c r="F13" s="3">
        <v>0</v>
      </c>
      <c r="G13" s="54">
        <f t="shared" si="0"/>
        <v>0</v>
      </c>
      <c r="H13" s="62">
        <f t="shared" si="1"/>
        <v>0</v>
      </c>
      <c r="I13" s="3">
        <f t="shared" si="2"/>
        <v>0</v>
      </c>
      <c r="J13" s="18">
        <f t="shared" si="3"/>
        <v>0</v>
      </c>
    </row>
    <row r="14" spans="1:10" x14ac:dyDescent="0.35">
      <c r="B14" s="17" t="s">
        <v>2543</v>
      </c>
      <c r="C14" s="5" t="s">
        <v>19</v>
      </c>
      <c r="D14" s="5" t="s">
        <v>20</v>
      </c>
      <c r="E14" s="3">
        <v>-1403000</v>
      </c>
      <c r="F14" s="3">
        <v>0</v>
      </c>
      <c r="G14" s="54">
        <f t="shared" si="0"/>
        <v>0</v>
      </c>
      <c r="H14" s="62">
        <f t="shared" si="1"/>
        <v>0</v>
      </c>
      <c r="I14" s="3">
        <f t="shared" si="2"/>
        <v>0</v>
      </c>
      <c r="J14" s="18">
        <f t="shared" si="3"/>
        <v>0</v>
      </c>
    </row>
    <row r="15" spans="1:10" x14ac:dyDescent="0.35">
      <c r="B15" s="17" t="s">
        <v>2543</v>
      </c>
      <c r="C15" s="5" t="s">
        <v>21</v>
      </c>
      <c r="D15" s="5" t="s">
        <v>22</v>
      </c>
      <c r="E15" s="3">
        <v>-4000</v>
      </c>
      <c r="F15" s="3">
        <v>-2026.2</v>
      </c>
      <c r="G15" s="54">
        <f t="shared" si="0"/>
        <v>-3473.4857142857145</v>
      </c>
      <c r="H15" s="62">
        <f t="shared" si="1"/>
        <v>-3681.8948571428577</v>
      </c>
      <c r="I15" s="3">
        <f t="shared" si="2"/>
        <v>-3884.3990742857145</v>
      </c>
      <c r="J15" s="18">
        <f t="shared" si="3"/>
        <v>-4090.2722252228573</v>
      </c>
    </row>
    <row r="16" spans="1:10" x14ac:dyDescent="0.35">
      <c r="B16" s="17" t="s">
        <v>2543</v>
      </c>
      <c r="C16" s="5" t="s">
        <v>23</v>
      </c>
      <c r="D16" s="5" t="s">
        <v>24</v>
      </c>
      <c r="E16" s="3">
        <v>0</v>
      </c>
      <c r="F16" s="3">
        <v>0</v>
      </c>
      <c r="G16" s="54">
        <f t="shared" si="0"/>
        <v>0</v>
      </c>
      <c r="H16" s="62">
        <f t="shared" si="1"/>
        <v>0</v>
      </c>
      <c r="I16" s="3">
        <f t="shared" si="2"/>
        <v>0</v>
      </c>
      <c r="J16" s="18">
        <f t="shared" si="3"/>
        <v>0</v>
      </c>
    </row>
    <row r="17" spans="2:10" x14ac:dyDescent="0.35">
      <c r="B17" s="17" t="s">
        <v>2543</v>
      </c>
      <c r="C17" s="5" t="s">
        <v>25</v>
      </c>
      <c r="D17" s="5" t="s">
        <v>26</v>
      </c>
      <c r="E17" s="3">
        <v>0</v>
      </c>
      <c r="F17" s="3">
        <v>0</v>
      </c>
      <c r="G17" s="54">
        <f t="shared" si="0"/>
        <v>0</v>
      </c>
      <c r="H17" s="62">
        <f t="shared" si="1"/>
        <v>0</v>
      </c>
      <c r="I17" s="3">
        <f t="shared" si="2"/>
        <v>0</v>
      </c>
      <c r="J17" s="18">
        <f t="shared" si="3"/>
        <v>0</v>
      </c>
    </row>
    <row r="18" spans="2:10" x14ac:dyDescent="0.35">
      <c r="B18" s="17" t="s">
        <v>2543</v>
      </c>
      <c r="C18" s="5" t="s">
        <v>27</v>
      </c>
      <c r="D18" s="5" t="s">
        <v>28</v>
      </c>
      <c r="E18" s="3">
        <v>0</v>
      </c>
      <c r="F18" s="3">
        <v>0</v>
      </c>
      <c r="G18" s="54">
        <f t="shared" si="0"/>
        <v>0</v>
      </c>
      <c r="H18" s="62">
        <f t="shared" si="1"/>
        <v>0</v>
      </c>
      <c r="I18" s="3">
        <f t="shared" si="2"/>
        <v>0</v>
      </c>
      <c r="J18" s="18">
        <f t="shared" si="3"/>
        <v>0</v>
      </c>
    </row>
    <row r="19" spans="2:10" x14ac:dyDescent="0.35">
      <c r="B19" s="17" t="s">
        <v>2543</v>
      </c>
      <c r="C19" s="5" t="s">
        <v>29</v>
      </c>
      <c r="D19" s="5" t="s">
        <v>30</v>
      </c>
      <c r="E19" s="3">
        <v>0</v>
      </c>
      <c r="F19" s="3">
        <v>0</v>
      </c>
      <c r="G19" s="54">
        <f t="shared" si="0"/>
        <v>0</v>
      </c>
      <c r="H19" s="62">
        <f t="shared" si="1"/>
        <v>0</v>
      </c>
      <c r="I19" s="3">
        <f t="shared" si="2"/>
        <v>0</v>
      </c>
      <c r="J19" s="18">
        <f t="shared" si="3"/>
        <v>0</v>
      </c>
    </row>
    <row r="20" spans="2:10" x14ac:dyDescent="0.35">
      <c r="B20" s="17" t="s">
        <v>2543</v>
      </c>
      <c r="C20" s="5" t="s">
        <v>31</v>
      </c>
      <c r="D20" s="5" t="s">
        <v>32</v>
      </c>
      <c r="E20" s="3">
        <v>0</v>
      </c>
      <c r="F20" s="3">
        <v>0</v>
      </c>
      <c r="G20" s="54">
        <f t="shared" si="0"/>
        <v>0</v>
      </c>
      <c r="H20" s="62">
        <f t="shared" si="1"/>
        <v>0</v>
      </c>
      <c r="I20" s="3">
        <f t="shared" si="2"/>
        <v>0</v>
      </c>
      <c r="J20" s="18">
        <f t="shared" si="3"/>
        <v>0</v>
      </c>
    </row>
    <row r="21" spans="2:10" s="8" customFormat="1" x14ac:dyDescent="0.35">
      <c r="B21" s="19" t="s">
        <v>2545</v>
      </c>
      <c r="C21" s="5"/>
      <c r="D21" s="5"/>
      <c r="E21" s="10">
        <f t="shared" ref="E21:G21" si="4">SUM(E5:E20)</f>
        <v>-5499540</v>
      </c>
      <c r="F21" s="10">
        <f t="shared" si="4"/>
        <v>-10742600.739999998</v>
      </c>
      <c r="G21" s="59">
        <f t="shared" si="4"/>
        <v>-18415886.982857145</v>
      </c>
      <c r="H21" s="63">
        <f t="shared" ref="H21:J21" si="5">SUM(H5:H20)</f>
        <v>-19520840.201828569</v>
      </c>
      <c r="I21" s="10">
        <f t="shared" si="5"/>
        <v>-20594486.41292914</v>
      </c>
      <c r="J21" s="22">
        <f t="shared" si="5"/>
        <v>-21685994.192814384</v>
      </c>
    </row>
    <row r="22" spans="2:10" s="8" customFormat="1" x14ac:dyDescent="0.35">
      <c r="B22" s="20"/>
      <c r="E22" s="9"/>
      <c r="F22" s="9"/>
      <c r="G22" s="9"/>
      <c r="H22" s="64"/>
      <c r="I22" s="9"/>
      <c r="J22" s="21"/>
    </row>
    <row r="23" spans="2:10" x14ac:dyDescent="0.35">
      <c r="B23" s="17" t="s">
        <v>2544</v>
      </c>
      <c r="C23" s="5" t="s">
        <v>33</v>
      </c>
      <c r="D23" s="5" t="s">
        <v>34</v>
      </c>
      <c r="E23" s="3">
        <v>146542</v>
      </c>
      <c r="F23" s="3">
        <f>538570.57+4028.71</f>
        <v>542599.27999999991</v>
      </c>
      <c r="G23" s="54">
        <f t="shared" si="0"/>
        <v>930170.19428571418</v>
      </c>
      <c r="H23" s="62">
        <f>+G23*1.058</f>
        <v>984120.06555428565</v>
      </c>
      <c r="I23" s="3">
        <f t="shared" ref="I23:I70" si="6">+H23*1.055</f>
        <v>1038246.6691597713</v>
      </c>
      <c r="J23" s="18">
        <f>+I23*1.053</f>
        <v>1093273.7426252391</v>
      </c>
    </row>
    <row r="24" spans="2:10" x14ac:dyDescent="0.35">
      <c r="B24" s="17" t="s">
        <v>2544</v>
      </c>
      <c r="C24" s="5" t="s">
        <v>35</v>
      </c>
      <c r="D24" s="5" t="s">
        <v>36</v>
      </c>
      <c r="E24" s="3">
        <v>12212</v>
      </c>
      <c r="F24" s="3">
        <v>12211.81</v>
      </c>
      <c r="G24" s="54">
        <f t="shared" si="0"/>
        <v>20934.531428571427</v>
      </c>
      <c r="H24" s="62">
        <f>+G24*1.058</f>
        <v>22148.73425142857</v>
      </c>
      <c r="I24" s="3">
        <f t="shared" si="6"/>
        <v>23366.914635257141</v>
      </c>
      <c r="J24" s="18">
        <f t="shared" ref="J24:J70" si="7">+I24*1.053</f>
        <v>24605.361110925769</v>
      </c>
    </row>
    <row r="25" spans="2:10" x14ac:dyDescent="0.35">
      <c r="B25" s="17" t="s">
        <v>2544</v>
      </c>
      <c r="C25" s="5" t="s">
        <v>37</v>
      </c>
      <c r="D25" s="5" t="s">
        <v>38</v>
      </c>
      <c r="E25" s="3">
        <v>0</v>
      </c>
      <c r="F25" s="3">
        <v>0</v>
      </c>
      <c r="G25" s="54">
        <f t="shared" si="0"/>
        <v>0</v>
      </c>
      <c r="H25" s="62">
        <f t="shared" ref="H25:H37" si="8">+G25*1.058</f>
        <v>0</v>
      </c>
      <c r="I25" s="3">
        <f t="shared" si="6"/>
        <v>0</v>
      </c>
      <c r="J25" s="18">
        <f t="shared" si="7"/>
        <v>0</v>
      </c>
    </row>
    <row r="26" spans="2:10" x14ac:dyDescent="0.35">
      <c r="B26" s="17" t="s">
        <v>2544</v>
      </c>
      <c r="C26" s="5" t="s">
        <v>39</v>
      </c>
      <c r="D26" s="5" t="s">
        <v>40</v>
      </c>
      <c r="E26" s="3">
        <v>0</v>
      </c>
      <c r="F26" s="3">
        <v>0</v>
      </c>
      <c r="G26" s="54">
        <f t="shared" si="0"/>
        <v>0</v>
      </c>
      <c r="H26" s="62">
        <f t="shared" si="8"/>
        <v>0</v>
      </c>
      <c r="I26" s="3">
        <f t="shared" si="6"/>
        <v>0</v>
      </c>
      <c r="J26" s="18">
        <f t="shared" si="7"/>
        <v>0</v>
      </c>
    </row>
    <row r="27" spans="2:10" x14ac:dyDescent="0.35">
      <c r="B27" s="17" t="s">
        <v>2544</v>
      </c>
      <c r="C27" s="5" t="s">
        <v>41</v>
      </c>
      <c r="D27" s="5" t="s">
        <v>42</v>
      </c>
      <c r="E27" s="3">
        <v>0</v>
      </c>
      <c r="F27" s="3">
        <v>0</v>
      </c>
      <c r="G27" s="54">
        <f t="shared" si="0"/>
        <v>0</v>
      </c>
      <c r="H27" s="62">
        <f t="shared" si="8"/>
        <v>0</v>
      </c>
      <c r="I27" s="3">
        <f t="shared" si="6"/>
        <v>0</v>
      </c>
      <c r="J27" s="18">
        <f t="shared" si="7"/>
        <v>0</v>
      </c>
    </row>
    <row r="28" spans="2:10" x14ac:dyDescent="0.35">
      <c r="B28" s="17" t="s">
        <v>2544</v>
      </c>
      <c r="C28" s="5" t="s">
        <v>43</v>
      </c>
      <c r="D28" s="5" t="s">
        <v>44</v>
      </c>
      <c r="E28" s="3">
        <v>1465</v>
      </c>
      <c r="F28" s="3">
        <v>2017.68</v>
      </c>
      <c r="G28" s="54">
        <f t="shared" si="0"/>
        <v>3458.88</v>
      </c>
      <c r="H28" s="62">
        <f t="shared" si="8"/>
        <v>3659.4950400000002</v>
      </c>
      <c r="I28" s="3">
        <f t="shared" si="6"/>
        <v>3860.7672671999999</v>
      </c>
      <c r="J28" s="18">
        <f t="shared" si="7"/>
        <v>4065.3879323615997</v>
      </c>
    </row>
    <row r="29" spans="2:10" x14ac:dyDescent="0.35">
      <c r="B29" s="17" t="s">
        <v>2544</v>
      </c>
      <c r="C29" s="5" t="s">
        <v>45</v>
      </c>
      <c r="D29" s="5" t="s">
        <v>46</v>
      </c>
      <c r="E29" s="3">
        <v>1465</v>
      </c>
      <c r="F29" s="3">
        <v>94.92</v>
      </c>
      <c r="G29" s="54">
        <f t="shared" si="0"/>
        <v>162.72</v>
      </c>
      <c r="H29" s="62">
        <f t="shared" si="8"/>
        <v>172.15776</v>
      </c>
      <c r="I29" s="3">
        <f t="shared" si="6"/>
        <v>181.62643679999999</v>
      </c>
      <c r="J29" s="18">
        <f t="shared" si="7"/>
        <v>191.25263795039999</v>
      </c>
    </row>
    <row r="30" spans="2:10" x14ac:dyDescent="0.35">
      <c r="B30" s="17" t="s">
        <v>2544</v>
      </c>
      <c r="C30" s="5" t="s">
        <v>47</v>
      </c>
      <c r="D30" s="5" t="s">
        <v>48</v>
      </c>
      <c r="E30" s="3">
        <v>0</v>
      </c>
      <c r="F30" s="3">
        <v>0</v>
      </c>
      <c r="G30" s="54">
        <f t="shared" si="0"/>
        <v>0</v>
      </c>
      <c r="H30" s="62">
        <f t="shared" si="8"/>
        <v>0</v>
      </c>
      <c r="I30" s="3">
        <f t="shared" si="6"/>
        <v>0</v>
      </c>
      <c r="J30" s="18">
        <f t="shared" si="7"/>
        <v>0</v>
      </c>
    </row>
    <row r="31" spans="2:10" x14ac:dyDescent="0.35">
      <c r="B31" s="17" t="s">
        <v>2544</v>
      </c>
      <c r="C31" s="5" t="s">
        <v>49</v>
      </c>
      <c r="D31" s="5" t="s">
        <v>50</v>
      </c>
      <c r="E31" s="3">
        <v>1465</v>
      </c>
      <c r="F31" s="3">
        <v>14274.56</v>
      </c>
      <c r="G31" s="54">
        <f t="shared" si="0"/>
        <v>24470.674285714285</v>
      </c>
      <c r="H31" s="62">
        <f t="shared" si="8"/>
        <v>25889.973394285716</v>
      </c>
      <c r="I31" s="3">
        <f t="shared" si="6"/>
        <v>27313.921930971428</v>
      </c>
      <c r="J31" s="18">
        <f t="shared" si="7"/>
        <v>28761.559793312914</v>
      </c>
    </row>
    <row r="32" spans="2:10" x14ac:dyDescent="0.35">
      <c r="B32" s="17" t="s">
        <v>2544</v>
      </c>
      <c r="C32" s="5" t="s">
        <v>51</v>
      </c>
      <c r="D32" s="5" t="s">
        <v>52</v>
      </c>
      <c r="E32" s="3">
        <v>0</v>
      </c>
      <c r="F32" s="3">
        <v>0</v>
      </c>
      <c r="G32" s="54">
        <f t="shared" si="0"/>
        <v>0</v>
      </c>
      <c r="H32" s="62">
        <f t="shared" si="8"/>
        <v>0</v>
      </c>
      <c r="I32" s="3">
        <f t="shared" si="6"/>
        <v>0</v>
      </c>
      <c r="J32" s="18">
        <f t="shared" si="7"/>
        <v>0</v>
      </c>
    </row>
    <row r="33" spans="2:10" x14ac:dyDescent="0.35">
      <c r="B33" s="17" t="s">
        <v>2544</v>
      </c>
      <c r="C33" s="5" t="s">
        <v>53</v>
      </c>
      <c r="D33" s="5" t="s">
        <v>54</v>
      </c>
      <c r="E33" s="3">
        <v>1826918</v>
      </c>
      <c r="F33" s="3">
        <v>976912.63</v>
      </c>
      <c r="G33" s="54">
        <f t="shared" si="0"/>
        <v>1674707.365714286</v>
      </c>
      <c r="H33" s="62">
        <f t="shared" si="8"/>
        <v>1771840.3929257146</v>
      </c>
      <c r="I33" s="3">
        <f t="shared" si="6"/>
        <v>1869291.6145366288</v>
      </c>
      <c r="J33" s="18">
        <f t="shared" si="7"/>
        <v>1968364.07010707</v>
      </c>
    </row>
    <row r="34" spans="2:10" x14ac:dyDescent="0.35">
      <c r="B34" s="17" t="s">
        <v>2544</v>
      </c>
      <c r="C34" s="5" t="s">
        <v>55</v>
      </c>
      <c r="D34" s="5" t="s">
        <v>56</v>
      </c>
      <c r="E34" s="3">
        <v>0</v>
      </c>
      <c r="F34" s="3">
        <v>0</v>
      </c>
      <c r="G34" s="54">
        <f t="shared" si="0"/>
        <v>0</v>
      </c>
      <c r="H34" s="62">
        <f t="shared" si="8"/>
        <v>0</v>
      </c>
      <c r="I34" s="3">
        <f t="shared" si="6"/>
        <v>0</v>
      </c>
      <c r="J34" s="18">
        <f t="shared" si="7"/>
        <v>0</v>
      </c>
    </row>
    <row r="35" spans="2:10" x14ac:dyDescent="0.35">
      <c r="B35" s="17" t="s">
        <v>2544</v>
      </c>
      <c r="C35" s="5" t="s">
        <v>57</v>
      </c>
      <c r="D35" s="5" t="s">
        <v>58</v>
      </c>
      <c r="E35" s="3">
        <v>146076</v>
      </c>
      <c r="F35" s="3">
        <v>81961.69</v>
      </c>
      <c r="G35" s="54">
        <f t="shared" si="0"/>
        <v>140505.7542857143</v>
      </c>
      <c r="H35" s="62">
        <f t="shared" si="8"/>
        <v>148655.08803428573</v>
      </c>
      <c r="I35" s="3">
        <f t="shared" si="6"/>
        <v>156831.11787617143</v>
      </c>
      <c r="J35" s="18">
        <f t="shared" si="7"/>
        <v>165143.16712360849</v>
      </c>
    </row>
    <row r="36" spans="2:10" x14ac:dyDescent="0.35">
      <c r="B36" s="17" t="s">
        <v>2544</v>
      </c>
      <c r="C36" s="5" t="s">
        <v>59</v>
      </c>
      <c r="D36" s="5" t="s">
        <v>60</v>
      </c>
      <c r="E36" s="3">
        <v>0</v>
      </c>
      <c r="F36" s="3">
        <v>0</v>
      </c>
      <c r="G36" s="54">
        <f t="shared" si="0"/>
        <v>0</v>
      </c>
      <c r="H36" s="62">
        <f t="shared" si="8"/>
        <v>0</v>
      </c>
      <c r="I36" s="3">
        <f t="shared" si="6"/>
        <v>0</v>
      </c>
      <c r="J36" s="18">
        <f t="shared" si="7"/>
        <v>0</v>
      </c>
    </row>
    <row r="37" spans="2:10" x14ac:dyDescent="0.35">
      <c r="B37" s="17" t="s">
        <v>2544</v>
      </c>
      <c r="C37" s="5" t="s">
        <v>61</v>
      </c>
      <c r="D37" s="5" t="s">
        <v>62</v>
      </c>
      <c r="E37" s="3">
        <v>0</v>
      </c>
      <c r="F37" s="3">
        <v>0</v>
      </c>
      <c r="G37" s="54">
        <f t="shared" si="0"/>
        <v>0</v>
      </c>
      <c r="H37" s="62">
        <f t="shared" si="8"/>
        <v>0</v>
      </c>
      <c r="I37" s="3">
        <f t="shared" si="6"/>
        <v>0</v>
      </c>
      <c r="J37" s="18">
        <f t="shared" si="7"/>
        <v>0</v>
      </c>
    </row>
    <row r="38" spans="2:10" x14ac:dyDescent="0.35">
      <c r="B38" s="17" t="s">
        <v>2544</v>
      </c>
      <c r="C38" s="5" t="s">
        <v>63</v>
      </c>
      <c r="D38" s="5" t="s">
        <v>64</v>
      </c>
      <c r="E38" s="3">
        <v>440000</v>
      </c>
      <c r="F38" s="3">
        <v>0</v>
      </c>
      <c r="G38" s="54">
        <f t="shared" si="0"/>
        <v>0</v>
      </c>
      <c r="H38" s="62">
        <f>+G38*1.06</f>
        <v>0</v>
      </c>
      <c r="I38" s="3">
        <f t="shared" si="6"/>
        <v>0</v>
      </c>
      <c r="J38" s="18">
        <f t="shared" si="7"/>
        <v>0</v>
      </c>
    </row>
    <row r="39" spans="2:10" x14ac:dyDescent="0.35">
      <c r="B39" s="17" t="s">
        <v>2544</v>
      </c>
      <c r="C39" s="5" t="s">
        <v>65</v>
      </c>
      <c r="D39" s="5" t="s">
        <v>66</v>
      </c>
      <c r="E39" s="3">
        <v>0</v>
      </c>
      <c r="F39" s="3">
        <v>0</v>
      </c>
      <c r="G39" s="54">
        <f t="shared" si="0"/>
        <v>0</v>
      </c>
      <c r="H39" s="62">
        <f t="shared" ref="H39:H70" si="9">+G39*1.06</f>
        <v>0</v>
      </c>
      <c r="I39" s="3">
        <f t="shared" si="6"/>
        <v>0</v>
      </c>
      <c r="J39" s="18">
        <f t="shared" si="7"/>
        <v>0</v>
      </c>
    </row>
    <row r="40" spans="2:10" x14ac:dyDescent="0.35">
      <c r="B40" s="17" t="s">
        <v>2544</v>
      </c>
      <c r="C40" s="5" t="s">
        <v>67</v>
      </c>
      <c r="D40" s="5" t="s">
        <v>68</v>
      </c>
      <c r="E40" s="3">
        <v>0</v>
      </c>
      <c r="F40" s="3">
        <v>0</v>
      </c>
      <c r="G40" s="54">
        <f t="shared" si="0"/>
        <v>0</v>
      </c>
      <c r="H40" s="62">
        <f t="shared" si="9"/>
        <v>0</v>
      </c>
      <c r="I40" s="3">
        <f t="shared" si="6"/>
        <v>0</v>
      </c>
      <c r="J40" s="18">
        <f t="shared" si="7"/>
        <v>0</v>
      </c>
    </row>
    <row r="41" spans="2:10" x14ac:dyDescent="0.35">
      <c r="B41" s="17" t="s">
        <v>2544</v>
      </c>
      <c r="C41" s="5" t="s">
        <v>69</v>
      </c>
      <c r="D41" s="5" t="s">
        <v>70</v>
      </c>
      <c r="E41" s="3">
        <v>0</v>
      </c>
      <c r="F41" s="3">
        <v>0</v>
      </c>
      <c r="G41" s="54">
        <f t="shared" si="0"/>
        <v>0</v>
      </c>
      <c r="H41" s="62">
        <f t="shared" si="9"/>
        <v>0</v>
      </c>
      <c r="I41" s="3">
        <f t="shared" si="6"/>
        <v>0</v>
      </c>
      <c r="J41" s="18">
        <f t="shared" si="7"/>
        <v>0</v>
      </c>
    </row>
    <row r="42" spans="2:10" x14ac:dyDescent="0.35">
      <c r="B42" s="17" t="s">
        <v>2544</v>
      </c>
      <c r="C42" s="5" t="s">
        <v>71</v>
      </c>
      <c r="D42" s="5" t="s">
        <v>72</v>
      </c>
      <c r="E42" s="3">
        <v>0</v>
      </c>
      <c r="F42" s="3">
        <v>0</v>
      </c>
      <c r="G42" s="54">
        <f t="shared" si="0"/>
        <v>0</v>
      </c>
      <c r="H42" s="62">
        <f t="shared" si="9"/>
        <v>0</v>
      </c>
      <c r="I42" s="3">
        <f t="shared" si="6"/>
        <v>0</v>
      </c>
      <c r="J42" s="18">
        <f t="shared" si="7"/>
        <v>0</v>
      </c>
    </row>
    <row r="43" spans="2:10" x14ac:dyDescent="0.35">
      <c r="B43" s="17" t="s">
        <v>2544</v>
      </c>
      <c r="C43" s="5" t="s">
        <v>73</v>
      </c>
      <c r="D43" s="5" t="s">
        <v>74</v>
      </c>
      <c r="E43" s="3">
        <v>0</v>
      </c>
      <c r="F43" s="3">
        <v>28000</v>
      </c>
      <c r="G43" s="54">
        <f t="shared" si="0"/>
        <v>48000</v>
      </c>
      <c r="H43" s="62">
        <f t="shared" si="9"/>
        <v>50880</v>
      </c>
      <c r="I43" s="3">
        <f t="shared" si="6"/>
        <v>53678.399999999994</v>
      </c>
      <c r="J43" s="18">
        <f t="shared" si="7"/>
        <v>56523.355199999991</v>
      </c>
    </row>
    <row r="44" spans="2:10" x14ac:dyDescent="0.35">
      <c r="B44" s="17" t="s">
        <v>2544</v>
      </c>
      <c r="C44" s="5" t="s">
        <v>75</v>
      </c>
      <c r="D44" s="5" t="s">
        <v>76</v>
      </c>
      <c r="E44" s="3">
        <v>200</v>
      </c>
      <c r="F44" s="3">
        <v>0</v>
      </c>
      <c r="G44" s="54">
        <f t="shared" si="0"/>
        <v>0</v>
      </c>
      <c r="H44" s="62">
        <f t="shared" si="9"/>
        <v>0</v>
      </c>
      <c r="I44" s="3">
        <f t="shared" si="6"/>
        <v>0</v>
      </c>
      <c r="J44" s="18">
        <f t="shared" si="7"/>
        <v>0</v>
      </c>
    </row>
    <row r="45" spans="2:10" x14ac:dyDescent="0.35">
      <c r="B45" s="17" t="s">
        <v>2544</v>
      </c>
      <c r="C45" s="5" t="s">
        <v>77</v>
      </c>
      <c r="D45" s="5" t="s">
        <v>78</v>
      </c>
      <c r="E45" s="3">
        <v>100000</v>
      </c>
      <c r="F45" s="3">
        <v>0</v>
      </c>
      <c r="G45" s="54">
        <f t="shared" si="0"/>
        <v>0</v>
      </c>
      <c r="H45" s="62">
        <f t="shared" si="9"/>
        <v>0</v>
      </c>
      <c r="I45" s="3">
        <f t="shared" si="6"/>
        <v>0</v>
      </c>
      <c r="J45" s="18">
        <f t="shared" si="7"/>
        <v>0</v>
      </c>
    </row>
    <row r="46" spans="2:10" x14ac:dyDescent="0.35">
      <c r="B46" s="17" t="s">
        <v>2544</v>
      </c>
      <c r="C46" s="5" t="s">
        <v>79</v>
      </c>
      <c r="D46" s="5" t="s">
        <v>80</v>
      </c>
      <c r="E46" s="3">
        <v>625000</v>
      </c>
      <c r="F46" s="3">
        <f>4623341.4-9210.53</f>
        <v>4614130.87</v>
      </c>
      <c r="G46" s="54">
        <f t="shared" si="0"/>
        <v>7909938.6342857145</v>
      </c>
      <c r="H46" s="62">
        <f t="shared" si="9"/>
        <v>8384534.9523428576</v>
      </c>
      <c r="I46" s="3">
        <f t="shared" si="6"/>
        <v>8845684.3747217134</v>
      </c>
      <c r="J46" s="18">
        <f t="shared" si="7"/>
        <v>9314505.6465819627</v>
      </c>
    </row>
    <row r="47" spans="2:10" x14ac:dyDescent="0.35">
      <c r="B47" s="17" t="s">
        <v>2544</v>
      </c>
      <c r="C47" s="5" t="s">
        <v>81</v>
      </c>
      <c r="D47" s="5" t="s">
        <v>82</v>
      </c>
      <c r="E47" s="3">
        <v>500000</v>
      </c>
      <c r="F47" s="3">
        <v>0</v>
      </c>
      <c r="G47" s="54">
        <f t="shared" si="0"/>
        <v>0</v>
      </c>
      <c r="H47" s="62">
        <f t="shared" si="9"/>
        <v>0</v>
      </c>
      <c r="I47" s="3">
        <f t="shared" si="6"/>
        <v>0</v>
      </c>
      <c r="J47" s="18">
        <f t="shared" si="7"/>
        <v>0</v>
      </c>
    </row>
    <row r="48" spans="2:10" x14ac:dyDescent="0.35">
      <c r="B48" s="17" t="s">
        <v>2544</v>
      </c>
      <c r="C48" s="5" t="s">
        <v>83</v>
      </c>
      <c r="D48" s="5" t="s">
        <v>84</v>
      </c>
      <c r="E48" s="3">
        <v>0</v>
      </c>
      <c r="F48" s="3">
        <f>602-5416.42</f>
        <v>-4814.42</v>
      </c>
      <c r="G48" s="54">
        <f t="shared" si="0"/>
        <v>-8253.2914285714287</v>
      </c>
      <c r="H48" s="62">
        <f t="shared" si="9"/>
        <v>-8748.4889142857155</v>
      </c>
      <c r="I48" s="3">
        <f t="shared" si="6"/>
        <v>-9229.6558045714301</v>
      </c>
      <c r="J48" s="18">
        <f t="shared" si="7"/>
        <v>-9718.8275622137153</v>
      </c>
    </row>
    <row r="49" spans="2:11" x14ac:dyDescent="0.35">
      <c r="B49" s="17" t="s">
        <v>2544</v>
      </c>
      <c r="C49" s="5" t="s">
        <v>85</v>
      </c>
      <c r="D49" s="5" t="s">
        <v>86</v>
      </c>
      <c r="E49" s="3">
        <v>15000</v>
      </c>
      <c r="F49" s="3">
        <v>5878.84</v>
      </c>
      <c r="G49" s="54">
        <f t="shared" si="0"/>
        <v>10078.01142857143</v>
      </c>
      <c r="H49" s="62">
        <f t="shared" si="9"/>
        <v>10682.692114285715</v>
      </c>
      <c r="I49" s="3">
        <f t="shared" si="6"/>
        <v>11270.240180571429</v>
      </c>
      <c r="J49" s="18">
        <f t="shared" si="7"/>
        <v>11867.562910141714</v>
      </c>
    </row>
    <row r="50" spans="2:11" x14ac:dyDescent="0.35">
      <c r="B50" s="17" t="s">
        <v>2544</v>
      </c>
      <c r="C50" s="5" t="s">
        <v>87</v>
      </c>
      <c r="D50" s="5" t="s">
        <v>88</v>
      </c>
      <c r="E50" s="3">
        <v>0</v>
      </c>
      <c r="F50" s="3">
        <v>0</v>
      </c>
      <c r="G50" s="54">
        <f t="shared" si="0"/>
        <v>0</v>
      </c>
      <c r="H50" s="62">
        <f t="shared" si="9"/>
        <v>0</v>
      </c>
      <c r="I50" s="3">
        <f t="shared" si="6"/>
        <v>0</v>
      </c>
      <c r="J50" s="18">
        <f t="shared" si="7"/>
        <v>0</v>
      </c>
    </row>
    <row r="51" spans="2:11" x14ac:dyDescent="0.35">
      <c r="B51" s="17" t="s">
        <v>2544</v>
      </c>
      <c r="C51" s="5" t="s">
        <v>89</v>
      </c>
      <c r="D51" s="5" t="s">
        <v>90</v>
      </c>
      <c r="E51" s="3">
        <v>135000</v>
      </c>
      <c r="F51" s="3">
        <v>138272.78</v>
      </c>
      <c r="G51" s="54">
        <f t="shared" si="0"/>
        <v>237039.05142857146</v>
      </c>
      <c r="H51" s="62">
        <f t="shared" si="9"/>
        <v>251261.39451428576</v>
      </c>
      <c r="I51" s="3">
        <f t="shared" si="6"/>
        <v>265080.77121257148</v>
      </c>
      <c r="J51" s="18">
        <f t="shared" si="7"/>
        <v>279130.05208683776</v>
      </c>
    </row>
    <row r="52" spans="2:11" x14ac:dyDescent="0.35">
      <c r="B52" s="17" t="s">
        <v>2544</v>
      </c>
      <c r="C52" s="5" t="s">
        <v>91</v>
      </c>
      <c r="D52" s="5" t="s">
        <v>92</v>
      </c>
      <c r="E52" s="3">
        <v>2000</v>
      </c>
      <c r="F52" s="3">
        <f>35.76-33</f>
        <v>2.759999999999998</v>
      </c>
      <c r="G52" s="54">
        <f t="shared" si="0"/>
        <v>4.7314285714285678</v>
      </c>
      <c r="H52" s="62">
        <f t="shared" si="9"/>
        <v>5.0153142857142825</v>
      </c>
      <c r="I52" s="3">
        <f t="shared" si="6"/>
        <v>5.2911565714285675</v>
      </c>
      <c r="J52" s="18">
        <f t="shared" si="7"/>
        <v>5.5715878697142811</v>
      </c>
    </row>
    <row r="53" spans="2:11" x14ac:dyDescent="0.35">
      <c r="B53" s="17" t="s">
        <v>2544</v>
      </c>
      <c r="C53" s="5" t="s">
        <v>93</v>
      </c>
      <c r="D53" s="5" t="s">
        <v>94</v>
      </c>
      <c r="E53" s="3">
        <v>0</v>
      </c>
      <c r="F53" s="3"/>
      <c r="G53" s="54">
        <f t="shared" si="0"/>
        <v>0</v>
      </c>
      <c r="H53" s="62">
        <f t="shared" si="9"/>
        <v>0</v>
      </c>
      <c r="I53" s="3">
        <f t="shared" si="6"/>
        <v>0</v>
      </c>
      <c r="J53" s="18">
        <f t="shared" si="7"/>
        <v>0</v>
      </c>
    </row>
    <row r="54" spans="2:11" x14ac:dyDescent="0.35">
      <c r="B54" s="17" t="s">
        <v>2544</v>
      </c>
      <c r="C54" s="5" t="s">
        <v>95</v>
      </c>
      <c r="D54" s="5" t="s">
        <v>96</v>
      </c>
      <c r="E54" s="3">
        <v>0</v>
      </c>
      <c r="F54" s="3">
        <v>0</v>
      </c>
      <c r="G54" s="54">
        <f t="shared" si="0"/>
        <v>0</v>
      </c>
      <c r="H54" s="62">
        <f t="shared" si="9"/>
        <v>0</v>
      </c>
      <c r="I54" s="3">
        <f t="shared" si="6"/>
        <v>0</v>
      </c>
      <c r="J54" s="18">
        <f t="shared" si="7"/>
        <v>0</v>
      </c>
    </row>
    <row r="55" spans="2:11" x14ac:dyDescent="0.35">
      <c r="B55" s="17" t="s">
        <v>2544</v>
      </c>
      <c r="C55" s="5" t="s">
        <v>2603</v>
      </c>
      <c r="D55" s="5" t="s">
        <v>2604</v>
      </c>
      <c r="E55" s="3"/>
      <c r="F55" s="3">
        <v>56436.88</v>
      </c>
      <c r="G55" s="54">
        <f t="shared" si="0"/>
        <v>96748.937142857147</v>
      </c>
      <c r="H55" s="62">
        <f t="shared" si="9"/>
        <v>102553.87337142858</v>
      </c>
      <c r="I55" s="3">
        <f t="shared" si="6"/>
        <v>108194.33640685714</v>
      </c>
      <c r="J55" s="18">
        <f t="shared" si="7"/>
        <v>113928.63623642056</v>
      </c>
    </row>
    <row r="56" spans="2:11" x14ac:dyDescent="0.35">
      <c r="B56" s="17" t="s">
        <v>2544</v>
      </c>
      <c r="C56" s="5" t="s">
        <v>2605</v>
      </c>
      <c r="D56" s="5" t="s">
        <v>2659</v>
      </c>
      <c r="E56" s="3">
        <v>30000</v>
      </c>
      <c r="F56" s="3">
        <v>18619.12</v>
      </c>
      <c r="G56" s="54">
        <f t="shared" si="0"/>
        <v>31918.491428571426</v>
      </c>
      <c r="H56" s="78">
        <f t="shared" si="9"/>
        <v>33833.600914285715</v>
      </c>
      <c r="I56" s="3">
        <f t="shared" si="6"/>
        <v>35694.448964571427</v>
      </c>
      <c r="J56" s="18">
        <f t="shared" si="7"/>
        <v>37586.254759693707</v>
      </c>
    </row>
    <row r="57" spans="2:11" x14ac:dyDescent="0.35">
      <c r="B57" s="17" t="s">
        <v>2544</v>
      </c>
      <c r="C57" s="5" t="s">
        <v>97</v>
      </c>
      <c r="D57" s="5" t="s">
        <v>98</v>
      </c>
      <c r="E57" s="3">
        <v>100000</v>
      </c>
      <c r="F57" s="3">
        <f>99655.26-6041.16</f>
        <v>93614.099999999991</v>
      </c>
      <c r="G57" s="54">
        <f t="shared" si="0"/>
        <v>160481.31428571427</v>
      </c>
      <c r="H57" s="62">
        <f t="shared" si="9"/>
        <v>170110.19314285714</v>
      </c>
      <c r="I57" s="3">
        <f t="shared" si="6"/>
        <v>179466.25376571427</v>
      </c>
      <c r="J57" s="18">
        <f t="shared" si="7"/>
        <v>188977.96521529712</v>
      </c>
    </row>
    <row r="58" spans="2:11" x14ac:dyDescent="0.35">
      <c r="B58" s="17" t="s">
        <v>2544</v>
      </c>
      <c r="C58" s="5" t="s">
        <v>99</v>
      </c>
      <c r="D58" s="5" t="s">
        <v>100</v>
      </c>
      <c r="E58" s="3">
        <v>0</v>
      </c>
      <c r="F58" s="3">
        <v>1399.19</v>
      </c>
      <c r="G58" s="54">
        <f t="shared" si="0"/>
        <v>2398.6114285714284</v>
      </c>
      <c r="H58" s="62">
        <f t="shared" si="9"/>
        <v>2542.5281142857143</v>
      </c>
      <c r="I58" s="3">
        <f t="shared" si="6"/>
        <v>2682.3671605714285</v>
      </c>
      <c r="J58" s="18">
        <f t="shared" si="7"/>
        <v>2824.532620081714</v>
      </c>
    </row>
    <row r="59" spans="2:11" x14ac:dyDescent="0.35">
      <c r="B59" s="17" t="s">
        <v>2544</v>
      </c>
      <c r="C59" s="5" t="s">
        <v>101</v>
      </c>
      <c r="D59" s="5" t="s">
        <v>2660</v>
      </c>
      <c r="E59" s="3">
        <v>0</v>
      </c>
      <c r="F59" s="3">
        <v>0</v>
      </c>
      <c r="G59" s="54">
        <f t="shared" si="0"/>
        <v>0</v>
      </c>
      <c r="H59" s="78">
        <v>50000</v>
      </c>
      <c r="I59" s="3">
        <f t="shared" si="6"/>
        <v>52750</v>
      </c>
      <c r="J59" s="18">
        <f t="shared" si="7"/>
        <v>55545.75</v>
      </c>
      <c r="K59" t="s">
        <v>2661</v>
      </c>
    </row>
    <row r="60" spans="2:11" x14ac:dyDescent="0.35">
      <c r="B60" s="17" t="s">
        <v>2544</v>
      </c>
      <c r="C60" s="5" t="s">
        <v>103</v>
      </c>
      <c r="D60" s="5" t="s">
        <v>62</v>
      </c>
      <c r="E60" s="3">
        <v>0</v>
      </c>
      <c r="F60" s="3">
        <v>0</v>
      </c>
      <c r="G60" s="54">
        <f t="shared" si="0"/>
        <v>0</v>
      </c>
      <c r="H60" s="62">
        <f t="shared" si="9"/>
        <v>0</v>
      </c>
      <c r="I60" s="3">
        <f t="shared" si="6"/>
        <v>0</v>
      </c>
      <c r="J60" s="18">
        <f t="shared" si="7"/>
        <v>0</v>
      </c>
    </row>
    <row r="61" spans="2:11" x14ac:dyDescent="0.35">
      <c r="B61" s="17" t="s">
        <v>2544</v>
      </c>
      <c r="C61" s="5" t="s">
        <v>105</v>
      </c>
      <c r="D61" s="5" t="s">
        <v>106</v>
      </c>
      <c r="E61" s="3">
        <v>0</v>
      </c>
      <c r="F61" s="3">
        <v>1037.73</v>
      </c>
      <c r="G61" s="54">
        <f t="shared" si="0"/>
        <v>1778.9657142857141</v>
      </c>
      <c r="H61" s="62">
        <f t="shared" si="9"/>
        <v>1885.7036571428571</v>
      </c>
      <c r="I61" s="3">
        <f t="shared" si="6"/>
        <v>1989.417358285714</v>
      </c>
      <c r="J61" s="18">
        <f t="shared" si="7"/>
        <v>2094.8564782748567</v>
      </c>
    </row>
    <row r="62" spans="2:11" x14ac:dyDescent="0.35">
      <c r="B62" s="17" t="s">
        <v>2544</v>
      </c>
      <c r="C62" s="5" t="s">
        <v>107</v>
      </c>
      <c r="D62" s="5" t="s">
        <v>108</v>
      </c>
      <c r="E62" s="3">
        <v>0</v>
      </c>
      <c r="F62" s="3">
        <v>0</v>
      </c>
      <c r="G62" s="54">
        <f t="shared" si="0"/>
        <v>0</v>
      </c>
      <c r="H62" s="62">
        <f t="shared" si="9"/>
        <v>0</v>
      </c>
      <c r="I62" s="3">
        <f t="shared" si="6"/>
        <v>0</v>
      </c>
      <c r="J62" s="18">
        <f t="shared" si="7"/>
        <v>0</v>
      </c>
    </row>
    <row r="63" spans="2:11" x14ac:dyDescent="0.35">
      <c r="B63" s="17" t="s">
        <v>2544</v>
      </c>
      <c r="C63" s="5" t="s">
        <v>109</v>
      </c>
      <c r="D63" s="5" t="s">
        <v>110</v>
      </c>
      <c r="E63" s="3">
        <v>0</v>
      </c>
      <c r="F63" s="3">
        <v>0</v>
      </c>
      <c r="G63" s="54">
        <f t="shared" si="0"/>
        <v>0</v>
      </c>
      <c r="H63" s="62">
        <f t="shared" si="9"/>
        <v>0</v>
      </c>
      <c r="I63" s="3">
        <f t="shared" si="6"/>
        <v>0</v>
      </c>
      <c r="J63" s="18">
        <f t="shared" si="7"/>
        <v>0</v>
      </c>
    </row>
    <row r="64" spans="2:11" x14ac:dyDescent="0.35">
      <c r="B64" s="17" t="s">
        <v>2544</v>
      </c>
      <c r="C64" s="5" t="s">
        <v>111</v>
      </c>
      <c r="D64" s="5" t="s">
        <v>112</v>
      </c>
      <c r="E64" s="3">
        <v>0</v>
      </c>
      <c r="F64" s="3">
        <v>0</v>
      </c>
      <c r="G64" s="54">
        <f t="shared" si="0"/>
        <v>0</v>
      </c>
      <c r="H64" s="62">
        <f t="shared" si="9"/>
        <v>0</v>
      </c>
      <c r="I64" s="3">
        <f t="shared" si="6"/>
        <v>0</v>
      </c>
      <c r="J64" s="18">
        <f t="shared" si="7"/>
        <v>0</v>
      </c>
    </row>
    <row r="65" spans="1:10" x14ac:dyDescent="0.35">
      <c r="B65" s="17" t="s">
        <v>2544</v>
      </c>
      <c r="C65" s="5" t="s">
        <v>113</v>
      </c>
      <c r="D65" s="5" t="s">
        <v>114</v>
      </c>
      <c r="E65" s="3">
        <f>250+1500</f>
        <v>1750</v>
      </c>
      <c r="F65" s="3">
        <v>0</v>
      </c>
      <c r="G65" s="54">
        <f t="shared" si="0"/>
        <v>0</v>
      </c>
      <c r="H65" s="62">
        <f t="shared" si="9"/>
        <v>0</v>
      </c>
      <c r="I65" s="3">
        <f t="shared" si="6"/>
        <v>0</v>
      </c>
      <c r="J65" s="18">
        <f t="shared" si="7"/>
        <v>0</v>
      </c>
    </row>
    <row r="66" spans="1:10" x14ac:dyDescent="0.35">
      <c r="B66" s="17" t="s">
        <v>2544</v>
      </c>
      <c r="C66" s="5" t="s">
        <v>115</v>
      </c>
      <c r="D66" s="5" t="s">
        <v>116</v>
      </c>
      <c r="E66" s="3">
        <v>0</v>
      </c>
      <c r="F66" s="3">
        <v>250</v>
      </c>
      <c r="G66" s="54">
        <f t="shared" si="0"/>
        <v>428.57142857142856</v>
      </c>
      <c r="H66" s="62">
        <f t="shared" si="9"/>
        <v>454.28571428571428</v>
      </c>
      <c r="I66" s="3">
        <f t="shared" si="6"/>
        <v>479.27142857142854</v>
      </c>
      <c r="J66" s="18">
        <f t="shared" si="7"/>
        <v>504.67281428571425</v>
      </c>
    </row>
    <row r="67" spans="1:10" x14ac:dyDescent="0.35">
      <c r="B67" s="17" t="s">
        <v>2544</v>
      </c>
      <c r="C67" s="5" t="s">
        <v>117</v>
      </c>
      <c r="D67" s="5" t="s">
        <v>118</v>
      </c>
      <c r="E67" s="3">
        <v>0</v>
      </c>
      <c r="F67" s="3">
        <v>0</v>
      </c>
      <c r="G67" s="54">
        <f t="shared" si="0"/>
        <v>0</v>
      </c>
      <c r="H67" s="62">
        <f t="shared" si="9"/>
        <v>0</v>
      </c>
      <c r="I67" s="3">
        <f t="shared" si="6"/>
        <v>0</v>
      </c>
      <c r="J67" s="18">
        <f t="shared" si="7"/>
        <v>0</v>
      </c>
    </row>
    <row r="68" spans="1:10" x14ac:dyDescent="0.35">
      <c r="B68" s="17" t="s">
        <v>2544</v>
      </c>
      <c r="C68" s="5" t="s">
        <v>119</v>
      </c>
      <c r="D68" s="5" t="s">
        <v>120</v>
      </c>
      <c r="E68" s="3">
        <v>0</v>
      </c>
      <c r="F68" s="3">
        <v>0</v>
      </c>
      <c r="G68" s="54">
        <f t="shared" si="0"/>
        <v>0</v>
      </c>
      <c r="H68" s="62">
        <f t="shared" si="9"/>
        <v>0</v>
      </c>
      <c r="I68" s="3">
        <f t="shared" si="6"/>
        <v>0</v>
      </c>
      <c r="J68" s="18">
        <f t="shared" si="7"/>
        <v>0</v>
      </c>
    </row>
    <row r="69" spans="1:10" x14ac:dyDescent="0.35">
      <c r="B69" s="17" t="s">
        <v>2544</v>
      </c>
      <c r="C69" s="5" t="s">
        <v>121</v>
      </c>
      <c r="D69" s="5" t="s">
        <v>122</v>
      </c>
      <c r="E69" s="3">
        <v>-1621438</v>
      </c>
      <c r="F69" s="3">
        <v>0</v>
      </c>
      <c r="G69" s="54">
        <f t="shared" si="0"/>
        <v>0</v>
      </c>
      <c r="H69" s="62">
        <f t="shared" si="9"/>
        <v>0</v>
      </c>
      <c r="I69" s="3">
        <f t="shared" si="6"/>
        <v>0</v>
      </c>
      <c r="J69" s="18">
        <f t="shared" si="7"/>
        <v>0</v>
      </c>
    </row>
    <row r="70" spans="1:10" x14ac:dyDescent="0.35">
      <c r="B70" s="17" t="s">
        <v>2544</v>
      </c>
      <c r="C70" s="5" t="s">
        <v>123</v>
      </c>
      <c r="D70" s="5" t="s">
        <v>124</v>
      </c>
      <c r="E70" s="3">
        <v>0</v>
      </c>
      <c r="F70" s="3">
        <v>0</v>
      </c>
      <c r="G70" s="54">
        <f t="shared" si="0"/>
        <v>0</v>
      </c>
      <c r="H70" s="62">
        <f t="shared" si="9"/>
        <v>0</v>
      </c>
      <c r="I70" s="3">
        <f t="shared" si="6"/>
        <v>0</v>
      </c>
      <c r="J70" s="18">
        <f t="shared" si="7"/>
        <v>0</v>
      </c>
    </row>
    <row r="71" spans="1:10" s="8" customFormat="1" x14ac:dyDescent="0.35">
      <c r="B71" s="46" t="s">
        <v>2546</v>
      </c>
      <c r="C71" s="5"/>
      <c r="D71" s="5"/>
      <c r="E71" s="10">
        <f>SUM(E23:E70)</f>
        <v>2463655</v>
      </c>
      <c r="F71" s="10">
        <f t="shared" ref="F71:G71" si="10">SUM(F23:F70)</f>
        <v>6582900.4200000009</v>
      </c>
      <c r="G71" s="59">
        <f t="shared" si="10"/>
        <v>11284972.148571428</v>
      </c>
      <c r="H71" s="63">
        <f t="shared" ref="H71:J71" si="11">SUM(H23:H70)</f>
        <v>12006481.657245716</v>
      </c>
      <c r="I71" s="10">
        <f t="shared" si="11"/>
        <v>12666838.148394227</v>
      </c>
      <c r="J71" s="22">
        <f t="shared" si="11"/>
        <v>13338180.57025912</v>
      </c>
    </row>
    <row r="72" spans="1:10" s="8" customFormat="1" ht="7.5" customHeight="1" x14ac:dyDescent="0.35">
      <c r="B72" s="23"/>
      <c r="E72" s="9"/>
      <c r="F72" s="9"/>
      <c r="G72" s="9"/>
      <c r="H72" s="64"/>
      <c r="I72" s="9"/>
      <c r="J72" s="21"/>
    </row>
    <row r="73" spans="1:10" s="8" customFormat="1" ht="15" thickBot="1" x14ac:dyDescent="0.4">
      <c r="B73" s="24" t="s">
        <v>2548</v>
      </c>
      <c r="C73" s="25"/>
      <c r="D73" s="25"/>
      <c r="E73" s="26">
        <f>+E21+E71</f>
        <v>-3035885</v>
      </c>
      <c r="F73" s="26">
        <f t="shared" ref="F73:G73" si="12">+F21+F71</f>
        <v>-4159700.3199999975</v>
      </c>
      <c r="G73" s="60">
        <f t="shared" si="12"/>
        <v>-7130914.8342857175</v>
      </c>
      <c r="H73" s="65">
        <f t="shared" ref="H73:J73" si="13">+H21+H71</f>
        <v>-7514358.5445828531</v>
      </c>
      <c r="I73" s="26">
        <f t="shared" si="13"/>
        <v>-7927648.264534913</v>
      </c>
      <c r="J73" s="27">
        <f t="shared" si="13"/>
        <v>-8347813.6225552633</v>
      </c>
    </row>
    <row r="74" spans="1:10" s="8" customFormat="1" x14ac:dyDescent="0.35">
      <c r="E74" s="9"/>
      <c r="F74" s="9"/>
      <c r="G74" s="9"/>
      <c r="H74" s="9"/>
      <c r="I74" s="9"/>
      <c r="J74" s="9"/>
    </row>
    <row r="75" spans="1:10" s="8" customFormat="1" x14ac:dyDescent="0.35">
      <c r="E75" s="9"/>
      <c r="F75" s="9"/>
      <c r="G75" s="9"/>
      <c r="H75" s="9"/>
      <c r="I75" s="9"/>
      <c r="J75" s="9"/>
    </row>
    <row r="76" spans="1:10" s="8" customFormat="1" ht="15" thickBot="1" x14ac:dyDescent="0.4">
      <c r="A76" s="28" t="s">
        <v>2549</v>
      </c>
      <c r="B76" s="28" t="s">
        <v>2588</v>
      </c>
      <c r="E76" s="9"/>
      <c r="F76" s="9"/>
      <c r="G76" s="9"/>
      <c r="H76" s="9"/>
      <c r="I76" s="9"/>
      <c r="J76" s="9"/>
    </row>
    <row r="77" spans="1:10" x14ac:dyDescent="0.35">
      <c r="B77" s="31" t="s">
        <v>2543</v>
      </c>
      <c r="C77" s="14" t="s">
        <v>125</v>
      </c>
      <c r="D77" s="14" t="s">
        <v>126</v>
      </c>
      <c r="E77" s="15">
        <v>0</v>
      </c>
      <c r="F77" s="15">
        <f>7145.73-14489.4</f>
        <v>-7343.67</v>
      </c>
      <c r="G77" s="58">
        <f t="shared" ref="G77:G140" si="14">+F77/7*12</f>
        <v>-12589.148571428574</v>
      </c>
      <c r="H77" s="61">
        <f>+G77*1.06</f>
        <v>-13344.497485714288</v>
      </c>
      <c r="I77" s="15">
        <f>+H77*1.055</f>
        <v>-14078.444847428573</v>
      </c>
      <c r="J77" s="16">
        <f>+I77*1.053</f>
        <v>-14824.602424342287</v>
      </c>
    </row>
    <row r="78" spans="1:10" x14ac:dyDescent="0.35">
      <c r="B78" s="32" t="s">
        <v>2543</v>
      </c>
      <c r="C78" s="5" t="s">
        <v>127</v>
      </c>
      <c r="D78" s="5" t="s">
        <v>128</v>
      </c>
      <c r="E78" s="3">
        <v>0</v>
      </c>
      <c r="F78" s="3">
        <v>0</v>
      </c>
      <c r="G78" s="54">
        <f t="shared" si="14"/>
        <v>0</v>
      </c>
      <c r="H78" s="62">
        <f t="shared" ref="H78:H111" si="15">+G78*1.06</f>
        <v>0</v>
      </c>
      <c r="I78" s="3">
        <f t="shared" ref="I78:I110" si="16">+H78*1.055</f>
        <v>0</v>
      </c>
      <c r="J78" s="18">
        <f t="shared" ref="J78:J111" si="17">+I78*1.053</f>
        <v>0</v>
      </c>
    </row>
    <row r="79" spans="1:10" x14ac:dyDescent="0.35">
      <c r="B79" s="32" t="s">
        <v>2543</v>
      </c>
      <c r="C79" s="5" t="s">
        <v>129</v>
      </c>
      <c r="D79" s="5" t="s">
        <v>130</v>
      </c>
      <c r="E79" s="3">
        <v>0</v>
      </c>
      <c r="F79" s="3">
        <v>-3500</v>
      </c>
      <c r="G79" s="54">
        <f t="shared" si="14"/>
        <v>-6000</v>
      </c>
      <c r="H79" s="62">
        <f t="shared" si="15"/>
        <v>-6360</v>
      </c>
      <c r="I79" s="3">
        <f t="shared" si="16"/>
        <v>-6709.7999999999993</v>
      </c>
      <c r="J79" s="18">
        <f t="shared" si="17"/>
        <v>-7065.4193999999989</v>
      </c>
    </row>
    <row r="80" spans="1:10" x14ac:dyDescent="0.35">
      <c r="B80" s="32" t="s">
        <v>2543</v>
      </c>
      <c r="C80" s="5" t="s">
        <v>131</v>
      </c>
      <c r="D80" s="5" t="s">
        <v>132</v>
      </c>
      <c r="E80" s="3">
        <v>-2000</v>
      </c>
      <c r="F80" s="3">
        <v>-2414.58</v>
      </c>
      <c r="G80" s="54">
        <f t="shared" si="14"/>
        <v>-4139.28</v>
      </c>
      <c r="H80" s="62">
        <f t="shared" si="15"/>
        <v>-4387.6368000000002</v>
      </c>
      <c r="I80" s="3">
        <f t="shared" si="16"/>
        <v>-4628.9568239999999</v>
      </c>
      <c r="J80" s="18">
        <f t="shared" si="17"/>
        <v>-4874.2915356719996</v>
      </c>
    </row>
    <row r="81" spans="2:10" x14ac:dyDescent="0.35">
      <c r="B81" s="32" t="s">
        <v>2543</v>
      </c>
      <c r="C81" s="5" t="s">
        <v>133</v>
      </c>
      <c r="D81" s="5" t="s">
        <v>134</v>
      </c>
      <c r="E81" s="3">
        <v>0</v>
      </c>
      <c r="F81" s="3">
        <f>5079.77-2549.91</f>
        <v>2529.8600000000006</v>
      </c>
      <c r="G81" s="54">
        <f t="shared" si="14"/>
        <v>4336.902857142858</v>
      </c>
      <c r="H81" s="62">
        <f t="shared" si="15"/>
        <v>4597.1170285714297</v>
      </c>
      <c r="I81" s="3">
        <f t="shared" si="16"/>
        <v>4849.9584651428577</v>
      </c>
      <c r="J81" s="18">
        <f t="shared" si="17"/>
        <v>5107.0062637954288</v>
      </c>
    </row>
    <row r="82" spans="2:10" x14ac:dyDescent="0.35">
      <c r="B82" s="32" t="s">
        <v>2543</v>
      </c>
      <c r="C82" s="5" t="s">
        <v>135</v>
      </c>
      <c r="D82" s="5" t="s">
        <v>136</v>
      </c>
      <c r="E82" s="3">
        <v>-55000</v>
      </c>
      <c r="F82" s="3">
        <v>-106548.62</v>
      </c>
      <c r="G82" s="54">
        <f t="shared" si="14"/>
        <v>-182654.77714285714</v>
      </c>
      <c r="H82" s="62">
        <f t="shared" si="15"/>
        <v>-193614.06377142857</v>
      </c>
      <c r="I82" s="3">
        <f t="shared" si="16"/>
        <v>-204262.83727885713</v>
      </c>
      <c r="J82" s="18">
        <f t="shared" si="17"/>
        <v>-215088.76765463655</v>
      </c>
    </row>
    <row r="83" spans="2:10" x14ac:dyDescent="0.35">
      <c r="B83" s="32" t="s">
        <v>2543</v>
      </c>
      <c r="C83" s="5" t="s">
        <v>137</v>
      </c>
      <c r="D83" s="5" t="s">
        <v>138</v>
      </c>
      <c r="E83" s="3">
        <v>-489670</v>
      </c>
      <c r="F83" s="3">
        <f>20.61-396062.26</f>
        <v>-396041.65</v>
      </c>
      <c r="G83" s="54">
        <f t="shared" si="14"/>
        <v>-678928.54285714286</v>
      </c>
      <c r="H83" s="62">
        <f t="shared" si="15"/>
        <v>-719664.25542857149</v>
      </c>
      <c r="I83" s="3">
        <f t="shared" si="16"/>
        <v>-759245.78947714285</v>
      </c>
      <c r="J83" s="18">
        <f t="shared" si="17"/>
        <v>-799485.81631943141</v>
      </c>
    </row>
    <row r="84" spans="2:10" x14ac:dyDescent="0.35">
      <c r="B84" s="32" t="s">
        <v>2543</v>
      </c>
      <c r="C84" s="5" t="s">
        <v>139</v>
      </c>
      <c r="D84" s="5" t="s">
        <v>6</v>
      </c>
      <c r="E84" s="3">
        <v>0</v>
      </c>
      <c r="F84" s="3">
        <v>-20</v>
      </c>
      <c r="G84" s="54">
        <f t="shared" si="14"/>
        <v>-34.285714285714285</v>
      </c>
      <c r="H84" s="62">
        <f t="shared" si="15"/>
        <v>-36.342857142857142</v>
      </c>
      <c r="I84" s="3">
        <f t="shared" si="16"/>
        <v>-38.341714285714282</v>
      </c>
      <c r="J84" s="18">
        <f t="shared" si="17"/>
        <v>-40.373825142857136</v>
      </c>
    </row>
    <row r="85" spans="2:10" x14ac:dyDescent="0.35">
      <c r="B85" s="32" t="s">
        <v>2543</v>
      </c>
      <c r="C85" s="5" t="s">
        <v>140</v>
      </c>
      <c r="D85" s="5" t="s">
        <v>141</v>
      </c>
      <c r="E85" s="3">
        <v>0</v>
      </c>
      <c r="F85" s="3">
        <v>-49764.9</v>
      </c>
      <c r="G85" s="54">
        <f t="shared" si="14"/>
        <v>-85311.257142857154</v>
      </c>
      <c r="H85" s="62">
        <f t="shared" si="15"/>
        <v>-90429.932571428581</v>
      </c>
      <c r="I85" s="3">
        <f t="shared" si="16"/>
        <v>-95403.578862857146</v>
      </c>
      <c r="J85" s="18">
        <f t="shared" si="17"/>
        <v>-100459.96854258857</v>
      </c>
    </row>
    <row r="86" spans="2:10" x14ac:dyDescent="0.35">
      <c r="B86" s="32" t="s">
        <v>2543</v>
      </c>
      <c r="C86" s="5" t="s">
        <v>142</v>
      </c>
      <c r="D86" s="5" t="s">
        <v>143</v>
      </c>
      <c r="E86" s="3">
        <v>-17000</v>
      </c>
      <c r="F86" s="3">
        <v>-10919</v>
      </c>
      <c r="G86" s="54">
        <f t="shared" si="14"/>
        <v>-18718.285714285714</v>
      </c>
      <c r="H86" s="62">
        <f t="shared" si="15"/>
        <v>-19841.382857142857</v>
      </c>
      <c r="I86" s="3">
        <f t="shared" si="16"/>
        <v>-20932.658914285712</v>
      </c>
      <c r="J86" s="18">
        <f t="shared" si="17"/>
        <v>-22042.089836742853</v>
      </c>
    </row>
    <row r="87" spans="2:10" x14ac:dyDescent="0.35">
      <c r="B87" s="32" t="s">
        <v>2543</v>
      </c>
      <c r="C87" s="5" t="s">
        <v>144</v>
      </c>
      <c r="D87" s="5" t="s">
        <v>145</v>
      </c>
      <c r="E87" s="3">
        <v>-185000</v>
      </c>
      <c r="F87" s="3">
        <f>28484.45-125197.3</f>
        <v>-96712.85</v>
      </c>
      <c r="G87" s="54">
        <f t="shared" si="14"/>
        <v>-165793.45714285714</v>
      </c>
      <c r="H87" s="62">
        <f t="shared" si="15"/>
        <v>-175741.06457142858</v>
      </c>
      <c r="I87" s="3">
        <f t="shared" si="16"/>
        <v>-185406.82312285714</v>
      </c>
      <c r="J87" s="18">
        <f t="shared" si="17"/>
        <v>-195233.38474836855</v>
      </c>
    </row>
    <row r="88" spans="2:10" x14ac:dyDescent="0.35">
      <c r="B88" s="32" t="s">
        <v>2543</v>
      </c>
      <c r="C88" s="5" t="s">
        <v>146</v>
      </c>
      <c r="D88" s="5" t="s">
        <v>147</v>
      </c>
      <c r="E88" s="3">
        <v>0</v>
      </c>
      <c r="F88" s="3">
        <f>824482.83-824482.85</f>
        <v>-2.0000000018626451E-2</v>
      </c>
      <c r="G88" s="54">
        <f t="shared" si="14"/>
        <v>-3.4285714317645349E-2</v>
      </c>
      <c r="H88" s="62">
        <f t="shared" si="15"/>
        <v>-3.6342857176704074E-2</v>
      </c>
      <c r="I88" s="3">
        <f t="shared" si="16"/>
        <v>-3.8341714321422797E-2</v>
      </c>
      <c r="J88" s="18">
        <f t="shared" si="17"/>
        <v>-4.0373825180458206E-2</v>
      </c>
    </row>
    <row r="89" spans="2:10" x14ac:dyDescent="0.35">
      <c r="B89" s="32" t="s">
        <v>2543</v>
      </c>
      <c r="C89" s="5" t="s">
        <v>148</v>
      </c>
      <c r="D89" s="5" t="s">
        <v>149</v>
      </c>
      <c r="E89" s="3">
        <v>0</v>
      </c>
      <c r="F89" s="3">
        <v>-133</v>
      </c>
      <c r="G89" s="54">
        <f t="shared" si="14"/>
        <v>-228</v>
      </c>
      <c r="H89" s="62">
        <f t="shared" si="15"/>
        <v>-241.68</v>
      </c>
      <c r="I89" s="3">
        <f t="shared" si="16"/>
        <v>-254.97239999999999</v>
      </c>
      <c r="J89" s="18">
        <f t="shared" si="17"/>
        <v>-268.48593719999997</v>
      </c>
    </row>
    <row r="90" spans="2:10" x14ac:dyDescent="0.35">
      <c r="B90" s="32" t="s">
        <v>2543</v>
      </c>
      <c r="C90" s="5" t="s">
        <v>150</v>
      </c>
      <c r="D90" s="5" t="s">
        <v>151</v>
      </c>
      <c r="E90" s="3">
        <v>0</v>
      </c>
      <c r="F90" s="3">
        <v>0</v>
      </c>
      <c r="G90" s="54">
        <f t="shared" si="14"/>
        <v>0</v>
      </c>
      <c r="H90" s="62">
        <f t="shared" si="15"/>
        <v>0</v>
      </c>
      <c r="I90" s="3">
        <f t="shared" si="16"/>
        <v>0</v>
      </c>
      <c r="J90" s="18">
        <f t="shared" si="17"/>
        <v>0</v>
      </c>
    </row>
    <row r="91" spans="2:10" x14ac:dyDescent="0.35">
      <c r="B91" s="32" t="s">
        <v>2543</v>
      </c>
      <c r="C91" s="5" t="s">
        <v>152</v>
      </c>
      <c r="D91" s="5" t="s">
        <v>153</v>
      </c>
      <c r="E91" s="3">
        <v>-18000</v>
      </c>
      <c r="F91" s="3">
        <v>-10724</v>
      </c>
      <c r="G91" s="54">
        <f t="shared" si="14"/>
        <v>-18384</v>
      </c>
      <c r="H91" s="62">
        <f t="shared" si="15"/>
        <v>-19487.04</v>
      </c>
      <c r="I91" s="3">
        <f t="shared" si="16"/>
        <v>-20558.8272</v>
      </c>
      <c r="J91" s="18">
        <f t="shared" si="17"/>
        <v>-21648.4450416</v>
      </c>
    </row>
    <row r="92" spans="2:10" x14ac:dyDescent="0.35">
      <c r="B92" s="32" t="s">
        <v>2543</v>
      </c>
      <c r="C92" s="5" t="s">
        <v>154</v>
      </c>
      <c r="D92" s="5" t="s">
        <v>155</v>
      </c>
      <c r="E92" s="3">
        <v>0</v>
      </c>
      <c r="F92" s="3">
        <f>1104.91-6734.64</f>
        <v>-5629.7300000000005</v>
      </c>
      <c r="G92" s="54">
        <f t="shared" si="14"/>
        <v>-9650.9657142857141</v>
      </c>
      <c r="H92" s="62">
        <f t="shared" si="15"/>
        <v>-10230.023657142858</v>
      </c>
      <c r="I92" s="3">
        <f t="shared" si="16"/>
        <v>-10792.674958285714</v>
      </c>
      <c r="J92" s="18">
        <f t="shared" si="17"/>
        <v>-11364.686731074857</v>
      </c>
    </row>
    <row r="93" spans="2:10" x14ac:dyDescent="0.35">
      <c r="B93" s="32" t="s">
        <v>2543</v>
      </c>
      <c r="C93" s="5" t="s">
        <v>156</v>
      </c>
      <c r="D93" s="5" t="s">
        <v>157</v>
      </c>
      <c r="E93" s="3">
        <v>-1800000</v>
      </c>
      <c r="F93" s="3">
        <v>-1800000</v>
      </c>
      <c r="G93" s="54">
        <f t="shared" si="14"/>
        <v>-3085714.2857142854</v>
      </c>
      <c r="H93" s="62">
        <f t="shared" si="15"/>
        <v>-3270857.1428571427</v>
      </c>
      <c r="I93" s="3">
        <f t="shared" si="16"/>
        <v>-3450754.2857142854</v>
      </c>
      <c r="J93" s="18">
        <f t="shared" si="17"/>
        <v>-3633644.2628571424</v>
      </c>
    </row>
    <row r="94" spans="2:10" x14ac:dyDescent="0.35">
      <c r="B94" s="32" t="s">
        <v>2543</v>
      </c>
      <c r="C94" s="5" t="s">
        <v>158</v>
      </c>
      <c r="D94" s="5" t="s">
        <v>159</v>
      </c>
      <c r="E94" s="3">
        <v>0</v>
      </c>
      <c r="F94" s="3">
        <v>-7030.57</v>
      </c>
      <c r="G94" s="54">
        <f t="shared" si="14"/>
        <v>-12052.405714285713</v>
      </c>
      <c r="H94" s="62">
        <f t="shared" si="15"/>
        <v>-12775.550057142857</v>
      </c>
      <c r="I94" s="3">
        <f t="shared" si="16"/>
        <v>-13478.205310285713</v>
      </c>
      <c r="J94" s="18">
        <f t="shared" si="17"/>
        <v>-14192.550191730856</v>
      </c>
    </row>
    <row r="95" spans="2:10" x14ac:dyDescent="0.35">
      <c r="B95" s="32" t="s">
        <v>2543</v>
      </c>
      <c r="C95" s="5" t="s">
        <v>160</v>
      </c>
      <c r="D95" s="5" t="s">
        <v>2609</v>
      </c>
      <c r="E95" s="3">
        <v>-934000</v>
      </c>
      <c r="F95" s="3">
        <v>-934000</v>
      </c>
      <c r="G95" s="54">
        <f t="shared" si="14"/>
        <v>-1601142.857142857</v>
      </c>
      <c r="H95" s="62">
        <f t="shared" si="15"/>
        <v>-1697211.4285714286</v>
      </c>
      <c r="I95" s="3">
        <f t="shared" si="16"/>
        <v>-1790558.057142857</v>
      </c>
      <c r="J95" s="18">
        <f t="shared" si="17"/>
        <v>-1885457.6341714284</v>
      </c>
    </row>
    <row r="96" spans="2:10" x14ac:dyDescent="0.35">
      <c r="B96" s="32" t="s">
        <v>2543</v>
      </c>
      <c r="C96" s="5" t="s">
        <v>162</v>
      </c>
      <c r="D96" s="5" t="s">
        <v>163</v>
      </c>
      <c r="E96" s="3">
        <v>-10490000</v>
      </c>
      <c r="F96" s="3">
        <v>-8982636.4000000004</v>
      </c>
      <c r="G96" s="54">
        <f t="shared" si="14"/>
        <v>-15398805.257142859</v>
      </c>
      <c r="H96" s="62">
        <f t="shared" si="15"/>
        <v>-16322733.57257143</v>
      </c>
      <c r="I96" s="3">
        <f t="shared" si="16"/>
        <v>-17220483.919062857</v>
      </c>
      <c r="J96" s="18">
        <f t="shared" si="17"/>
        <v>-18133169.566773187</v>
      </c>
    </row>
    <row r="97" spans="2:10" x14ac:dyDescent="0.35">
      <c r="B97" s="32" t="s">
        <v>2543</v>
      </c>
      <c r="C97" s="5" t="s">
        <v>164</v>
      </c>
      <c r="D97" s="5" t="s">
        <v>165</v>
      </c>
      <c r="E97" s="3">
        <v>0</v>
      </c>
      <c r="F97" s="3">
        <v>0</v>
      </c>
      <c r="G97" s="54">
        <f t="shared" si="14"/>
        <v>0</v>
      </c>
      <c r="H97" s="62">
        <f t="shared" si="15"/>
        <v>0</v>
      </c>
      <c r="I97" s="3">
        <f t="shared" si="16"/>
        <v>0</v>
      </c>
      <c r="J97" s="18">
        <f t="shared" si="17"/>
        <v>0</v>
      </c>
    </row>
    <row r="98" spans="2:10" x14ac:dyDescent="0.35">
      <c r="B98" s="32" t="s">
        <v>2543</v>
      </c>
      <c r="C98" s="5" t="s">
        <v>166</v>
      </c>
      <c r="D98" s="5" t="s">
        <v>167</v>
      </c>
      <c r="E98" s="3">
        <v>0</v>
      </c>
      <c r="F98" s="3">
        <v>-700000</v>
      </c>
      <c r="G98" s="54">
        <f t="shared" si="14"/>
        <v>-1200000</v>
      </c>
      <c r="H98" s="62"/>
      <c r="I98" s="3">
        <f t="shared" si="16"/>
        <v>0</v>
      </c>
      <c r="J98" s="18">
        <f t="shared" si="17"/>
        <v>0</v>
      </c>
    </row>
    <row r="99" spans="2:10" x14ac:dyDescent="0.35">
      <c r="B99" s="32" t="s">
        <v>2543</v>
      </c>
      <c r="C99" s="5" t="s">
        <v>168</v>
      </c>
      <c r="D99" s="5" t="s">
        <v>169</v>
      </c>
      <c r="E99" s="3">
        <v>0</v>
      </c>
      <c r="F99" s="3">
        <v>-546500</v>
      </c>
      <c r="G99" s="54">
        <f t="shared" si="14"/>
        <v>-936857.14285714272</v>
      </c>
      <c r="H99" s="62"/>
      <c r="I99" s="3">
        <f t="shared" si="16"/>
        <v>0</v>
      </c>
      <c r="J99" s="18">
        <f t="shared" si="17"/>
        <v>0</v>
      </c>
    </row>
    <row r="100" spans="2:10" x14ac:dyDescent="0.35">
      <c r="B100" s="32" t="s">
        <v>2543</v>
      </c>
      <c r="C100" s="5" t="s">
        <v>170</v>
      </c>
      <c r="D100" s="5" t="s">
        <v>171</v>
      </c>
      <c r="E100" s="3">
        <v>0</v>
      </c>
      <c r="F100" s="3">
        <v>0</v>
      </c>
      <c r="G100" s="54">
        <f t="shared" si="14"/>
        <v>0</v>
      </c>
      <c r="H100" s="62">
        <f t="shared" si="15"/>
        <v>0</v>
      </c>
      <c r="I100" s="3">
        <f t="shared" si="16"/>
        <v>0</v>
      </c>
      <c r="J100" s="18">
        <f t="shared" si="17"/>
        <v>0</v>
      </c>
    </row>
    <row r="101" spans="2:10" x14ac:dyDescent="0.35">
      <c r="B101" s="32" t="s">
        <v>2543</v>
      </c>
      <c r="C101" s="5" t="s">
        <v>172</v>
      </c>
      <c r="D101" s="5" t="s">
        <v>173</v>
      </c>
      <c r="E101" s="3">
        <v>0</v>
      </c>
      <c r="F101" s="3">
        <v>0</v>
      </c>
      <c r="G101" s="54">
        <f t="shared" si="14"/>
        <v>0</v>
      </c>
      <c r="H101" s="62">
        <f t="shared" si="15"/>
        <v>0</v>
      </c>
      <c r="I101" s="3">
        <f t="shared" si="16"/>
        <v>0</v>
      </c>
      <c r="J101" s="18">
        <f t="shared" si="17"/>
        <v>0</v>
      </c>
    </row>
    <row r="102" spans="2:10" x14ac:dyDescent="0.35">
      <c r="B102" s="32" t="s">
        <v>2543</v>
      </c>
      <c r="C102" s="5" t="s">
        <v>174</v>
      </c>
      <c r="D102" s="5" t="s">
        <v>175</v>
      </c>
      <c r="E102" s="3">
        <v>0</v>
      </c>
      <c r="F102" s="3">
        <v>0</v>
      </c>
      <c r="G102" s="54">
        <f t="shared" si="14"/>
        <v>0</v>
      </c>
      <c r="H102" s="62">
        <f t="shared" si="15"/>
        <v>0</v>
      </c>
      <c r="I102" s="3">
        <f t="shared" si="16"/>
        <v>0</v>
      </c>
      <c r="J102" s="18">
        <f t="shared" si="17"/>
        <v>0</v>
      </c>
    </row>
    <row r="103" spans="2:10" x14ac:dyDescent="0.35">
      <c r="B103" s="32" t="s">
        <v>2543</v>
      </c>
      <c r="C103" s="5" t="s">
        <v>176</v>
      </c>
      <c r="D103" s="5" t="s">
        <v>177</v>
      </c>
      <c r="E103" s="3">
        <v>-3305</v>
      </c>
      <c r="F103" s="3">
        <f>323.23-2647.05</f>
        <v>-2323.8200000000002</v>
      </c>
      <c r="G103" s="54">
        <f t="shared" si="14"/>
        <v>-3983.6914285714283</v>
      </c>
      <c r="H103" s="62">
        <f t="shared" si="15"/>
        <v>-4222.7129142857139</v>
      </c>
      <c r="I103" s="3">
        <f t="shared" si="16"/>
        <v>-4454.9621245714279</v>
      </c>
      <c r="J103" s="18">
        <f t="shared" si="17"/>
        <v>-4691.0751171737129</v>
      </c>
    </row>
    <row r="104" spans="2:10" x14ac:dyDescent="0.35">
      <c r="B104" s="32" t="s">
        <v>2543</v>
      </c>
      <c r="C104" s="5" t="s">
        <v>178</v>
      </c>
      <c r="D104" s="5" t="s">
        <v>179</v>
      </c>
      <c r="E104" s="3">
        <v>-10411</v>
      </c>
      <c r="F104" s="3">
        <f>78.8-10405.2</f>
        <v>-10326.400000000001</v>
      </c>
      <c r="G104" s="54">
        <f t="shared" si="14"/>
        <v>-17702.400000000001</v>
      </c>
      <c r="H104" s="62">
        <f t="shared" si="15"/>
        <v>-18764.544000000002</v>
      </c>
      <c r="I104" s="3">
        <f t="shared" si="16"/>
        <v>-19796.593919999999</v>
      </c>
      <c r="J104" s="18">
        <f t="shared" si="17"/>
        <v>-20845.813397759997</v>
      </c>
    </row>
    <row r="105" spans="2:10" x14ac:dyDescent="0.35">
      <c r="B105" s="32" t="s">
        <v>2543</v>
      </c>
      <c r="C105" s="5" t="s">
        <v>180</v>
      </c>
      <c r="D105" s="5" t="s">
        <v>181</v>
      </c>
      <c r="E105" s="3">
        <v>-14000</v>
      </c>
      <c r="F105" s="3">
        <v>-8208</v>
      </c>
      <c r="G105" s="54">
        <f t="shared" si="14"/>
        <v>-14070.857142857145</v>
      </c>
      <c r="H105" s="62">
        <f t="shared" si="15"/>
        <v>-14915.108571428575</v>
      </c>
      <c r="I105" s="3">
        <f t="shared" si="16"/>
        <v>-15735.439542857146</v>
      </c>
      <c r="J105" s="18">
        <f t="shared" si="17"/>
        <v>-16569.417838628575</v>
      </c>
    </row>
    <row r="106" spans="2:10" x14ac:dyDescent="0.35">
      <c r="B106" s="32" t="s">
        <v>2543</v>
      </c>
      <c r="C106" s="5" t="s">
        <v>182</v>
      </c>
      <c r="D106" s="5" t="s">
        <v>183</v>
      </c>
      <c r="E106" s="3">
        <v>-270</v>
      </c>
      <c r="F106" s="3">
        <f>0.9-408.01</f>
        <v>-407.11</v>
      </c>
      <c r="G106" s="54">
        <f t="shared" si="14"/>
        <v>-697.9028571428571</v>
      </c>
      <c r="H106" s="62">
        <f t="shared" si="15"/>
        <v>-739.77702857142856</v>
      </c>
      <c r="I106" s="3">
        <f t="shared" si="16"/>
        <v>-780.46476514285712</v>
      </c>
      <c r="J106" s="18">
        <f t="shared" si="17"/>
        <v>-821.8293976954285</v>
      </c>
    </row>
    <row r="107" spans="2:10" x14ac:dyDescent="0.35">
      <c r="B107" s="32" t="s">
        <v>2543</v>
      </c>
      <c r="C107" s="5" t="s">
        <v>184</v>
      </c>
      <c r="D107" s="5" t="s">
        <v>185</v>
      </c>
      <c r="E107" s="3">
        <v>0</v>
      </c>
      <c r="F107" s="3">
        <v>-1591270.63</v>
      </c>
      <c r="G107" s="54">
        <f t="shared" si="14"/>
        <v>-2727892.5085714282</v>
      </c>
      <c r="H107" s="62">
        <f t="shared" si="15"/>
        <v>-2891566.0590857142</v>
      </c>
      <c r="I107" s="3">
        <f t="shared" si="16"/>
        <v>-3050602.1923354282</v>
      </c>
      <c r="J107" s="18">
        <f t="shared" si="17"/>
        <v>-3212284.1085292059</v>
      </c>
    </row>
    <row r="108" spans="2:10" x14ac:dyDescent="0.35">
      <c r="B108" s="32" t="s">
        <v>2543</v>
      </c>
      <c r="C108" s="5" t="s">
        <v>186</v>
      </c>
      <c r="D108" s="5" t="s">
        <v>30</v>
      </c>
      <c r="E108" s="3">
        <v>0</v>
      </c>
      <c r="F108" s="3">
        <v>0</v>
      </c>
      <c r="G108" s="54">
        <f t="shared" si="14"/>
        <v>0</v>
      </c>
      <c r="H108" s="62">
        <f t="shared" si="15"/>
        <v>0</v>
      </c>
      <c r="I108" s="3">
        <f t="shared" si="16"/>
        <v>0</v>
      </c>
      <c r="J108" s="18">
        <f t="shared" si="17"/>
        <v>0</v>
      </c>
    </row>
    <row r="109" spans="2:10" x14ac:dyDescent="0.35">
      <c r="B109" s="32" t="s">
        <v>2543</v>
      </c>
      <c r="C109" s="5" t="s">
        <v>187</v>
      </c>
      <c r="D109" s="5" t="s">
        <v>188</v>
      </c>
      <c r="E109" s="3">
        <v>0</v>
      </c>
      <c r="F109" s="3">
        <v>0</v>
      </c>
      <c r="G109" s="54">
        <f t="shared" si="14"/>
        <v>0</v>
      </c>
      <c r="H109" s="62">
        <f t="shared" si="15"/>
        <v>0</v>
      </c>
      <c r="I109" s="3">
        <f t="shared" si="16"/>
        <v>0</v>
      </c>
      <c r="J109" s="18">
        <f t="shared" si="17"/>
        <v>0</v>
      </c>
    </row>
    <row r="110" spans="2:10" x14ac:dyDescent="0.35">
      <c r="B110" s="32" t="s">
        <v>2543</v>
      </c>
      <c r="C110" s="5" t="s">
        <v>189</v>
      </c>
      <c r="D110" s="5" t="s">
        <v>190</v>
      </c>
      <c r="E110" s="3">
        <v>0</v>
      </c>
      <c r="F110" s="3">
        <f>18012.42-192130.31</f>
        <v>-174117.89</v>
      </c>
      <c r="G110" s="54">
        <f t="shared" si="14"/>
        <v>-298487.81142857147</v>
      </c>
      <c r="H110" s="62">
        <f t="shared" si="15"/>
        <v>-316397.08011428575</v>
      </c>
      <c r="I110" s="3">
        <f t="shared" si="16"/>
        <v>-333798.91952057142</v>
      </c>
      <c r="J110" s="18">
        <f t="shared" si="17"/>
        <v>-351490.26225516171</v>
      </c>
    </row>
    <row r="111" spans="2:10" x14ac:dyDescent="0.35">
      <c r="B111" s="32" t="s">
        <v>2543</v>
      </c>
      <c r="C111" s="5" t="s">
        <v>191</v>
      </c>
      <c r="D111" s="5" t="s">
        <v>32</v>
      </c>
      <c r="E111" s="3">
        <v>0</v>
      </c>
      <c r="F111" s="3">
        <v>0</v>
      </c>
      <c r="G111" s="54">
        <f t="shared" si="14"/>
        <v>0</v>
      </c>
      <c r="H111" s="62">
        <f t="shared" si="15"/>
        <v>0</v>
      </c>
      <c r="I111" s="3">
        <f>+H111*1.055</f>
        <v>0</v>
      </c>
      <c r="J111" s="18">
        <f t="shared" si="17"/>
        <v>0</v>
      </c>
    </row>
    <row r="112" spans="2:10" s="8" customFormat="1" x14ac:dyDescent="0.35">
      <c r="B112" s="33" t="s">
        <v>2545</v>
      </c>
      <c r="C112" s="5"/>
      <c r="D112" s="5"/>
      <c r="E112" s="10">
        <f>SUM(E77:E111)</f>
        <v>-14018656</v>
      </c>
      <c r="F112" s="10">
        <f t="shared" ref="F112:G112" si="18">SUM(F77:F111)</f>
        <v>-15444042.98</v>
      </c>
      <c r="G112" s="59">
        <f t="shared" si="18"/>
        <v>-26475502.251428571</v>
      </c>
      <c r="H112" s="63">
        <f t="shared" ref="H112:J112" si="19">SUM(H77:H111)</f>
        <v>-25798963.815085717</v>
      </c>
      <c r="I112" s="10">
        <f t="shared" si="19"/>
        <v>-27217906.824915424</v>
      </c>
      <c r="J112" s="22">
        <f t="shared" si="19"/>
        <v>-28660455.886635948</v>
      </c>
    </row>
    <row r="113" spans="2:10" s="8" customFormat="1" x14ac:dyDescent="0.35">
      <c r="B113" s="23"/>
      <c r="E113" s="9"/>
      <c r="F113" s="9"/>
      <c r="G113" s="9"/>
      <c r="H113" s="64"/>
      <c r="I113" s="9"/>
      <c r="J113" s="21"/>
    </row>
    <row r="114" spans="2:10" x14ac:dyDescent="0.35">
      <c r="B114" s="32" t="s">
        <v>2544</v>
      </c>
      <c r="C114" s="5" t="s">
        <v>192</v>
      </c>
      <c r="D114" s="5" t="s">
        <v>34</v>
      </c>
      <c r="E114" s="3">
        <v>5387479</v>
      </c>
      <c r="F114" s="3">
        <f>3030343.12-3058.29</f>
        <v>3027284.83</v>
      </c>
      <c r="G114" s="54">
        <f t="shared" si="14"/>
        <v>5189631.1371428575</v>
      </c>
      <c r="H114" s="62">
        <f>+G114*1.058</f>
        <v>5490629.7430971432</v>
      </c>
      <c r="I114" s="3">
        <f>+H114*1.055</f>
        <v>5792614.3789674854</v>
      </c>
      <c r="J114" s="18">
        <f>+I114*1.053</f>
        <v>6099622.9410527619</v>
      </c>
    </row>
    <row r="115" spans="2:10" x14ac:dyDescent="0.35">
      <c r="B115" s="32" t="s">
        <v>2544</v>
      </c>
      <c r="C115" s="5" t="s">
        <v>193</v>
      </c>
      <c r="D115" s="5" t="s">
        <v>36</v>
      </c>
      <c r="E115" s="3">
        <v>448957</v>
      </c>
      <c r="F115" s="3">
        <v>343213.86</v>
      </c>
      <c r="G115" s="54">
        <f t="shared" si="14"/>
        <v>588366.61714285705</v>
      </c>
      <c r="H115" s="62">
        <f t="shared" ref="H115:H126" si="20">+G115*1.058</f>
        <v>622491.88093714276</v>
      </c>
      <c r="I115" s="3">
        <f t="shared" ref="I115:I167" si="21">+H115*1.055</f>
        <v>656728.93438868562</v>
      </c>
      <c r="J115" s="18">
        <f t="shared" ref="J115:J167" si="22">+I115*1.053</f>
        <v>691535.56791128591</v>
      </c>
    </row>
    <row r="116" spans="2:10" x14ac:dyDescent="0.35">
      <c r="B116" s="32" t="s">
        <v>2544</v>
      </c>
      <c r="C116" s="5" t="s">
        <v>194</v>
      </c>
      <c r="D116" s="5" t="s">
        <v>38</v>
      </c>
      <c r="E116" s="3">
        <v>0</v>
      </c>
      <c r="F116" s="3">
        <v>548.79999999999995</v>
      </c>
      <c r="G116" s="54">
        <f t="shared" si="14"/>
        <v>940.8</v>
      </c>
      <c r="H116" s="62">
        <f t="shared" si="20"/>
        <v>995.3664</v>
      </c>
      <c r="I116" s="3">
        <f t="shared" si="21"/>
        <v>1050.1115519999998</v>
      </c>
      <c r="J116" s="18">
        <f t="shared" si="22"/>
        <v>1105.7674642559998</v>
      </c>
    </row>
    <row r="117" spans="2:10" x14ac:dyDescent="0.35">
      <c r="B117" s="32" t="s">
        <v>2544</v>
      </c>
      <c r="C117" s="5" t="s">
        <v>195</v>
      </c>
      <c r="D117" s="5" t="s">
        <v>40</v>
      </c>
      <c r="E117" s="3">
        <v>0</v>
      </c>
      <c r="F117" s="3">
        <v>0</v>
      </c>
      <c r="G117" s="54">
        <f t="shared" si="14"/>
        <v>0</v>
      </c>
      <c r="H117" s="62">
        <f t="shared" si="20"/>
        <v>0</v>
      </c>
      <c r="I117" s="3">
        <f t="shared" si="21"/>
        <v>0</v>
      </c>
      <c r="J117" s="18">
        <f t="shared" si="22"/>
        <v>0</v>
      </c>
    </row>
    <row r="118" spans="2:10" x14ac:dyDescent="0.35">
      <c r="B118" s="32" t="s">
        <v>2544</v>
      </c>
      <c r="C118" s="5" t="s">
        <v>196</v>
      </c>
      <c r="D118" s="5" t="s">
        <v>197</v>
      </c>
      <c r="E118" s="3">
        <v>0</v>
      </c>
      <c r="F118" s="3">
        <v>0</v>
      </c>
      <c r="G118" s="54">
        <f t="shared" si="14"/>
        <v>0</v>
      </c>
      <c r="H118" s="62">
        <f t="shared" si="20"/>
        <v>0</v>
      </c>
      <c r="I118" s="3">
        <f t="shared" si="21"/>
        <v>0</v>
      </c>
      <c r="J118" s="18">
        <f t="shared" si="22"/>
        <v>0</v>
      </c>
    </row>
    <row r="119" spans="2:10" x14ac:dyDescent="0.35">
      <c r="B119" s="32" t="s">
        <v>2544</v>
      </c>
      <c r="C119" s="5" t="s">
        <v>198</v>
      </c>
      <c r="D119" s="5" t="s">
        <v>42</v>
      </c>
      <c r="E119" s="3">
        <v>0</v>
      </c>
      <c r="F119" s="3">
        <v>0</v>
      </c>
      <c r="G119" s="54">
        <f t="shared" si="14"/>
        <v>0</v>
      </c>
      <c r="H119" s="62">
        <f t="shared" si="20"/>
        <v>0</v>
      </c>
      <c r="I119" s="3">
        <f t="shared" si="21"/>
        <v>0</v>
      </c>
      <c r="J119" s="18">
        <f t="shared" si="22"/>
        <v>0</v>
      </c>
    </row>
    <row r="120" spans="2:10" x14ac:dyDescent="0.35">
      <c r="B120" s="32" t="s">
        <v>2544</v>
      </c>
      <c r="C120" s="5" t="s">
        <v>199</v>
      </c>
      <c r="D120" s="5" t="s">
        <v>44</v>
      </c>
      <c r="E120" s="3">
        <v>24161</v>
      </c>
      <c r="F120" s="3">
        <v>14753.22</v>
      </c>
      <c r="G120" s="54">
        <f t="shared" si="14"/>
        <v>25291.234285714283</v>
      </c>
      <c r="H120" s="62">
        <f t="shared" si="20"/>
        <v>26758.125874285714</v>
      </c>
      <c r="I120" s="3">
        <f t="shared" si="21"/>
        <v>28229.822797371427</v>
      </c>
      <c r="J120" s="18">
        <f t="shared" si="22"/>
        <v>29726.003405632113</v>
      </c>
    </row>
    <row r="121" spans="2:10" x14ac:dyDescent="0.35">
      <c r="B121" s="32" t="s">
        <v>2544</v>
      </c>
      <c r="C121" s="5" t="s">
        <v>200</v>
      </c>
      <c r="D121" s="5" t="s">
        <v>46</v>
      </c>
      <c r="E121" s="3">
        <v>53875</v>
      </c>
      <c r="F121" s="3">
        <v>644.1</v>
      </c>
      <c r="G121" s="54">
        <f t="shared" si="14"/>
        <v>1104.1714285714286</v>
      </c>
      <c r="H121" s="62">
        <f t="shared" si="20"/>
        <v>1168.2133714285715</v>
      </c>
      <c r="I121" s="3">
        <f t="shared" si="21"/>
        <v>1232.4651068571429</v>
      </c>
      <c r="J121" s="18">
        <f t="shared" si="22"/>
        <v>1297.7857575205715</v>
      </c>
    </row>
    <row r="122" spans="2:10" x14ac:dyDescent="0.35">
      <c r="B122" s="32" t="s">
        <v>2544</v>
      </c>
      <c r="C122" s="5" t="s">
        <v>201</v>
      </c>
      <c r="D122" s="5" t="s">
        <v>48</v>
      </c>
      <c r="E122" s="3">
        <v>0</v>
      </c>
      <c r="F122" s="3">
        <v>0</v>
      </c>
      <c r="G122" s="54">
        <f t="shared" si="14"/>
        <v>0</v>
      </c>
      <c r="H122" s="62">
        <f t="shared" si="20"/>
        <v>0</v>
      </c>
      <c r="I122" s="3">
        <f t="shared" si="21"/>
        <v>0</v>
      </c>
      <c r="J122" s="18">
        <f t="shared" si="22"/>
        <v>0</v>
      </c>
    </row>
    <row r="123" spans="2:10" x14ac:dyDescent="0.35">
      <c r="B123" s="32" t="s">
        <v>2544</v>
      </c>
      <c r="C123" s="5" t="s">
        <v>202</v>
      </c>
      <c r="D123" s="5" t="s">
        <v>50</v>
      </c>
      <c r="E123" s="3">
        <v>53875</v>
      </c>
      <c r="F123" s="3">
        <v>30659.62</v>
      </c>
      <c r="G123" s="54">
        <f t="shared" si="14"/>
        <v>52559.348571428578</v>
      </c>
      <c r="H123" s="62">
        <f t="shared" si="20"/>
        <v>55607.790788571438</v>
      </c>
      <c r="I123" s="3">
        <f t="shared" si="21"/>
        <v>58666.21928194286</v>
      </c>
      <c r="J123" s="18">
        <f t="shared" si="22"/>
        <v>61775.528903885825</v>
      </c>
    </row>
    <row r="124" spans="2:10" x14ac:dyDescent="0.35">
      <c r="B124" s="32" t="s">
        <v>2544</v>
      </c>
      <c r="C124" s="5" t="s">
        <v>203</v>
      </c>
      <c r="D124" s="5" t="s">
        <v>52</v>
      </c>
      <c r="E124" s="3">
        <v>0</v>
      </c>
      <c r="F124" s="3">
        <v>84020.05</v>
      </c>
      <c r="G124" s="54">
        <f t="shared" si="14"/>
        <v>144034.37142857144</v>
      </c>
      <c r="H124" s="62">
        <f t="shared" si="20"/>
        <v>152388.36497142859</v>
      </c>
      <c r="I124" s="3">
        <f t="shared" si="21"/>
        <v>160769.72504485716</v>
      </c>
      <c r="J124" s="18">
        <f t="shared" si="22"/>
        <v>169290.52047223458</v>
      </c>
    </row>
    <row r="125" spans="2:10" x14ac:dyDescent="0.35">
      <c r="B125" s="32" t="s">
        <v>2544</v>
      </c>
      <c r="C125" s="5" t="s">
        <v>204</v>
      </c>
      <c r="D125" s="5" t="s">
        <v>205</v>
      </c>
      <c r="E125" s="3">
        <v>0</v>
      </c>
      <c r="F125" s="3">
        <v>191364.4</v>
      </c>
      <c r="G125" s="54">
        <f t="shared" si="14"/>
        <v>328053.25714285712</v>
      </c>
      <c r="H125" s="62">
        <f t="shared" si="20"/>
        <v>347080.34605714283</v>
      </c>
      <c r="I125" s="3">
        <f t="shared" si="21"/>
        <v>366169.76509028568</v>
      </c>
      <c r="J125" s="18">
        <f t="shared" si="22"/>
        <v>385576.76264007081</v>
      </c>
    </row>
    <row r="126" spans="2:10" x14ac:dyDescent="0.35">
      <c r="B126" s="32" t="s">
        <v>2544</v>
      </c>
      <c r="C126" s="5" t="s">
        <v>206</v>
      </c>
      <c r="D126" s="5" t="s">
        <v>207</v>
      </c>
      <c r="E126" s="3">
        <v>0</v>
      </c>
      <c r="F126" s="3">
        <v>0</v>
      </c>
      <c r="G126" s="54">
        <f t="shared" si="14"/>
        <v>0</v>
      </c>
      <c r="H126" s="62">
        <f t="shared" si="20"/>
        <v>0</v>
      </c>
      <c r="I126" s="3">
        <f t="shared" si="21"/>
        <v>0</v>
      </c>
      <c r="J126" s="18">
        <f t="shared" si="22"/>
        <v>0</v>
      </c>
    </row>
    <row r="127" spans="2:10" x14ac:dyDescent="0.35">
      <c r="B127" s="32" t="s">
        <v>2544</v>
      </c>
      <c r="C127" s="5" t="s">
        <v>208</v>
      </c>
      <c r="D127" s="5" t="s">
        <v>209</v>
      </c>
      <c r="E127" s="3">
        <v>0</v>
      </c>
      <c r="F127" s="3">
        <v>0</v>
      </c>
      <c r="G127" s="54">
        <f t="shared" si="14"/>
        <v>0</v>
      </c>
      <c r="H127" s="62">
        <f>+G127*1.06</f>
        <v>0</v>
      </c>
      <c r="I127" s="3">
        <f t="shared" si="21"/>
        <v>0</v>
      </c>
      <c r="J127" s="18">
        <f t="shared" si="22"/>
        <v>0</v>
      </c>
    </row>
    <row r="128" spans="2:10" x14ac:dyDescent="0.35">
      <c r="B128" s="32" t="s">
        <v>2544</v>
      </c>
      <c r="C128" s="5" t="s">
        <v>210</v>
      </c>
      <c r="D128" s="5" t="s">
        <v>64</v>
      </c>
      <c r="E128" s="3">
        <v>535000</v>
      </c>
      <c r="F128" s="3">
        <v>0</v>
      </c>
      <c r="G128" s="54">
        <f t="shared" si="14"/>
        <v>0</v>
      </c>
      <c r="H128" s="62">
        <f t="shared" ref="H128:H167" si="23">+G128*1.06</f>
        <v>0</v>
      </c>
      <c r="I128" s="3">
        <f t="shared" si="21"/>
        <v>0</v>
      </c>
      <c r="J128" s="18">
        <f t="shared" si="22"/>
        <v>0</v>
      </c>
    </row>
    <row r="129" spans="2:10" x14ac:dyDescent="0.35">
      <c r="B129" s="32" t="s">
        <v>2544</v>
      </c>
      <c r="C129" s="5" t="s">
        <v>211</v>
      </c>
      <c r="D129" s="5" t="s">
        <v>66</v>
      </c>
      <c r="E129" s="3">
        <v>0</v>
      </c>
      <c r="F129" s="3">
        <v>0</v>
      </c>
      <c r="G129" s="54">
        <f t="shared" si="14"/>
        <v>0</v>
      </c>
      <c r="H129" s="62">
        <f t="shared" si="23"/>
        <v>0</v>
      </c>
      <c r="I129" s="3">
        <f t="shared" si="21"/>
        <v>0</v>
      </c>
      <c r="J129" s="18">
        <f t="shared" si="22"/>
        <v>0</v>
      </c>
    </row>
    <row r="130" spans="2:10" x14ac:dyDescent="0.35">
      <c r="B130" s="32" t="s">
        <v>2544</v>
      </c>
      <c r="C130" s="5" t="s">
        <v>212</v>
      </c>
      <c r="D130" s="5" t="s">
        <v>68</v>
      </c>
      <c r="E130" s="3">
        <v>0</v>
      </c>
      <c r="F130" s="3">
        <v>0</v>
      </c>
      <c r="G130" s="54">
        <f t="shared" si="14"/>
        <v>0</v>
      </c>
      <c r="H130" s="62">
        <f t="shared" si="23"/>
        <v>0</v>
      </c>
      <c r="I130" s="3">
        <f t="shared" si="21"/>
        <v>0</v>
      </c>
      <c r="J130" s="18">
        <f t="shared" si="22"/>
        <v>0</v>
      </c>
    </row>
    <row r="131" spans="2:10" x14ac:dyDescent="0.35">
      <c r="B131" s="32" t="s">
        <v>2544</v>
      </c>
      <c r="C131" s="5" t="s">
        <v>213</v>
      </c>
      <c r="D131" s="5" t="s">
        <v>214</v>
      </c>
      <c r="E131" s="3">
        <v>0</v>
      </c>
      <c r="F131" s="3">
        <v>0</v>
      </c>
      <c r="G131" s="54">
        <f t="shared" si="14"/>
        <v>0</v>
      </c>
      <c r="H131" s="62">
        <f t="shared" si="23"/>
        <v>0</v>
      </c>
      <c r="I131" s="3">
        <f t="shared" si="21"/>
        <v>0</v>
      </c>
      <c r="J131" s="18">
        <f t="shared" si="22"/>
        <v>0</v>
      </c>
    </row>
    <row r="132" spans="2:10" x14ac:dyDescent="0.35">
      <c r="B132" s="32" t="s">
        <v>2544</v>
      </c>
      <c r="C132" s="5" t="s">
        <v>215</v>
      </c>
      <c r="D132" s="5" t="s">
        <v>216</v>
      </c>
      <c r="E132" s="3">
        <v>0</v>
      </c>
      <c r="F132" s="3">
        <v>0</v>
      </c>
      <c r="G132" s="54">
        <f t="shared" si="14"/>
        <v>0</v>
      </c>
      <c r="H132" s="62">
        <f t="shared" si="23"/>
        <v>0</v>
      </c>
      <c r="I132" s="3">
        <f t="shared" si="21"/>
        <v>0</v>
      </c>
      <c r="J132" s="18">
        <f t="shared" si="22"/>
        <v>0</v>
      </c>
    </row>
    <row r="133" spans="2:10" x14ac:dyDescent="0.35">
      <c r="B133" s="32" t="s">
        <v>2544</v>
      </c>
      <c r="C133" s="5" t="s">
        <v>217</v>
      </c>
      <c r="D133" s="5" t="s">
        <v>90</v>
      </c>
      <c r="E133" s="3">
        <v>12100</v>
      </c>
      <c r="F133" s="3">
        <v>17930.16</v>
      </c>
      <c r="G133" s="54">
        <f t="shared" si="14"/>
        <v>30737.417142857143</v>
      </c>
      <c r="H133" s="62">
        <f t="shared" si="23"/>
        <v>32581.662171428572</v>
      </c>
      <c r="I133" s="3">
        <f t="shared" si="21"/>
        <v>34373.653590857139</v>
      </c>
      <c r="J133" s="18">
        <f t="shared" si="22"/>
        <v>36195.457231172564</v>
      </c>
    </row>
    <row r="134" spans="2:10" x14ac:dyDescent="0.35">
      <c r="B134" s="32" t="s">
        <v>2544</v>
      </c>
      <c r="C134" s="5" t="s">
        <v>218</v>
      </c>
      <c r="D134" s="5" t="s">
        <v>92</v>
      </c>
      <c r="E134" s="3">
        <v>106189</v>
      </c>
      <c r="F134" s="3">
        <f>128533.9-344.48</f>
        <v>128189.42</v>
      </c>
      <c r="G134" s="54">
        <f t="shared" si="14"/>
        <v>219753.29142857139</v>
      </c>
      <c r="H134" s="62">
        <f t="shared" si="23"/>
        <v>232938.4889142857</v>
      </c>
      <c r="I134" s="3">
        <f t="shared" si="21"/>
        <v>245750.10580457139</v>
      </c>
      <c r="J134" s="18">
        <f t="shared" si="22"/>
        <v>258774.86141221365</v>
      </c>
    </row>
    <row r="135" spans="2:10" x14ac:dyDescent="0.35">
      <c r="B135" s="32" t="s">
        <v>2544</v>
      </c>
      <c r="C135" s="5" t="s">
        <v>219</v>
      </c>
      <c r="D135" s="5" t="s">
        <v>94</v>
      </c>
      <c r="E135" s="3">
        <v>350000</v>
      </c>
      <c r="F135" s="3">
        <f>212750.99-3598.11</f>
        <v>209152.88</v>
      </c>
      <c r="G135" s="54">
        <f t="shared" si="14"/>
        <v>358547.79428571428</v>
      </c>
      <c r="H135" s="62">
        <f t="shared" si="23"/>
        <v>380060.66194285714</v>
      </c>
      <c r="I135" s="3">
        <f t="shared" si="21"/>
        <v>400963.99834971427</v>
      </c>
      <c r="J135" s="18">
        <f t="shared" si="22"/>
        <v>422215.09026224911</v>
      </c>
    </row>
    <row r="136" spans="2:10" x14ac:dyDescent="0.35">
      <c r="B136" s="32" t="s">
        <v>2544</v>
      </c>
      <c r="C136" s="5" t="s">
        <v>220</v>
      </c>
      <c r="D136" s="5" t="s">
        <v>221</v>
      </c>
      <c r="E136" s="3">
        <v>79695</v>
      </c>
      <c r="F136" s="3">
        <f>93950.92-57.51</f>
        <v>93893.41</v>
      </c>
      <c r="G136" s="54">
        <f t="shared" si="14"/>
        <v>160960.13142857142</v>
      </c>
      <c r="H136" s="62">
        <f t="shared" si="23"/>
        <v>170617.73931428572</v>
      </c>
      <c r="I136" s="3">
        <f t="shared" si="21"/>
        <v>180001.71497657141</v>
      </c>
      <c r="J136" s="18">
        <f t="shared" si="22"/>
        <v>189541.8058703297</v>
      </c>
    </row>
    <row r="137" spans="2:10" x14ac:dyDescent="0.35">
      <c r="B137" s="32" t="s">
        <v>2544</v>
      </c>
      <c r="C137" s="5" t="s">
        <v>222</v>
      </c>
      <c r="D137" s="5" t="s">
        <v>223</v>
      </c>
      <c r="E137" s="3">
        <v>1431</v>
      </c>
      <c r="F137" s="3">
        <v>4560</v>
      </c>
      <c r="G137" s="54">
        <f t="shared" si="14"/>
        <v>7817.1428571428569</v>
      </c>
      <c r="H137" s="62">
        <f t="shared" si="23"/>
        <v>8286.1714285714279</v>
      </c>
      <c r="I137" s="3">
        <f t="shared" si="21"/>
        <v>8741.9108571428551</v>
      </c>
      <c r="J137" s="18">
        <f t="shared" si="22"/>
        <v>9205.2321325714256</v>
      </c>
    </row>
    <row r="138" spans="2:10" x14ac:dyDescent="0.35">
      <c r="B138" s="32" t="s">
        <v>2544</v>
      </c>
      <c r="C138" s="5" t="s">
        <v>224</v>
      </c>
      <c r="D138" s="5" t="s">
        <v>225</v>
      </c>
      <c r="E138" s="3">
        <v>0</v>
      </c>
      <c r="F138" s="3">
        <v>808</v>
      </c>
      <c r="G138" s="54">
        <f t="shared" si="14"/>
        <v>1385.1428571428571</v>
      </c>
      <c r="H138" s="62">
        <f t="shared" si="23"/>
        <v>1468.2514285714285</v>
      </c>
      <c r="I138" s="3">
        <f t="shared" si="21"/>
        <v>1549.0052571428571</v>
      </c>
      <c r="J138" s="18">
        <f t="shared" si="22"/>
        <v>1631.1025357714284</v>
      </c>
    </row>
    <row r="139" spans="2:10" x14ac:dyDescent="0.35">
      <c r="B139" s="32" t="s">
        <v>2544</v>
      </c>
      <c r="C139" s="5" t="s">
        <v>226</v>
      </c>
      <c r="D139" s="5" t="s">
        <v>227</v>
      </c>
      <c r="E139" s="3">
        <v>0</v>
      </c>
      <c r="F139" s="3">
        <v>0</v>
      </c>
      <c r="G139" s="54">
        <f t="shared" si="14"/>
        <v>0</v>
      </c>
      <c r="H139" s="62">
        <f t="shared" si="23"/>
        <v>0</v>
      </c>
      <c r="I139" s="3">
        <f t="shared" si="21"/>
        <v>0</v>
      </c>
      <c r="J139" s="18">
        <f t="shared" si="22"/>
        <v>0</v>
      </c>
    </row>
    <row r="140" spans="2:10" x14ac:dyDescent="0.35">
      <c r="B140" s="32" t="s">
        <v>2544</v>
      </c>
      <c r="C140" s="5" t="s">
        <v>228</v>
      </c>
      <c r="D140" s="5" t="s">
        <v>98</v>
      </c>
      <c r="E140" s="3">
        <v>7851</v>
      </c>
      <c r="F140" s="3">
        <f>24706.38-495</f>
        <v>24211.38</v>
      </c>
      <c r="G140" s="54">
        <f t="shared" si="14"/>
        <v>41505.222857142857</v>
      </c>
      <c r="H140" s="62">
        <f t="shared" si="23"/>
        <v>43995.536228571429</v>
      </c>
      <c r="I140" s="3">
        <f t="shared" si="21"/>
        <v>46415.290721142854</v>
      </c>
      <c r="J140" s="18">
        <f t="shared" si="22"/>
        <v>48875.301129363419</v>
      </c>
    </row>
    <row r="141" spans="2:10" x14ac:dyDescent="0.35">
      <c r="B141" s="32" t="s">
        <v>2544</v>
      </c>
      <c r="C141" s="5" t="s">
        <v>229</v>
      </c>
      <c r="D141" s="5" t="s">
        <v>230</v>
      </c>
      <c r="E141" s="3">
        <v>0</v>
      </c>
      <c r="F141" s="3">
        <v>0</v>
      </c>
      <c r="G141" s="54">
        <f t="shared" ref="G141:G206" si="24">+F141/7*12</f>
        <v>0</v>
      </c>
      <c r="H141" s="62">
        <f t="shared" si="23"/>
        <v>0</v>
      </c>
      <c r="I141" s="3">
        <f t="shared" si="21"/>
        <v>0</v>
      </c>
      <c r="J141" s="18">
        <f t="shared" si="22"/>
        <v>0</v>
      </c>
    </row>
    <row r="142" spans="2:10" x14ac:dyDescent="0.35">
      <c r="B142" s="32" t="s">
        <v>2544</v>
      </c>
      <c r="C142" s="5" t="s">
        <v>231</v>
      </c>
      <c r="D142" s="5" t="s">
        <v>232</v>
      </c>
      <c r="E142" s="3">
        <v>65505</v>
      </c>
      <c r="F142" s="3">
        <v>78061.97</v>
      </c>
      <c r="G142" s="54">
        <f t="shared" si="24"/>
        <v>133820.52000000002</v>
      </c>
      <c r="H142" s="62">
        <f t="shared" si="23"/>
        <v>141849.75120000003</v>
      </c>
      <c r="I142" s="3">
        <f t="shared" si="21"/>
        <v>149651.48751600002</v>
      </c>
      <c r="J142" s="18">
        <f t="shared" si="22"/>
        <v>157583.01635434802</v>
      </c>
    </row>
    <row r="143" spans="2:10" x14ac:dyDescent="0.35">
      <c r="B143" s="32" t="s">
        <v>2544</v>
      </c>
      <c r="C143" s="5" t="s">
        <v>233</v>
      </c>
      <c r="D143" s="5" t="s">
        <v>234</v>
      </c>
      <c r="E143" s="3">
        <v>0</v>
      </c>
      <c r="F143" s="3">
        <v>0</v>
      </c>
      <c r="G143" s="54">
        <f t="shared" si="24"/>
        <v>0</v>
      </c>
      <c r="H143" s="62">
        <f t="shared" si="23"/>
        <v>0</v>
      </c>
      <c r="I143" s="3">
        <f t="shared" si="21"/>
        <v>0</v>
      </c>
      <c r="J143" s="18">
        <f t="shared" si="22"/>
        <v>0</v>
      </c>
    </row>
    <row r="144" spans="2:10" x14ac:dyDescent="0.35">
      <c r="B144" s="32" t="s">
        <v>2544</v>
      </c>
      <c r="C144" s="5" t="s">
        <v>235</v>
      </c>
      <c r="D144" s="5" t="s">
        <v>236</v>
      </c>
      <c r="E144" s="3">
        <v>170000</v>
      </c>
      <c r="F144" s="3">
        <v>143062.57</v>
      </c>
      <c r="G144" s="54">
        <f t="shared" si="24"/>
        <v>245250.12000000002</v>
      </c>
      <c r="H144" s="62">
        <f t="shared" si="23"/>
        <v>259965.12720000005</v>
      </c>
      <c r="I144" s="3">
        <f t="shared" si="21"/>
        <v>274263.20919600001</v>
      </c>
      <c r="J144" s="18">
        <f t="shared" si="22"/>
        <v>288799.159283388</v>
      </c>
    </row>
    <row r="145" spans="2:10" x14ac:dyDescent="0.35">
      <c r="B145" s="32" t="s">
        <v>2544</v>
      </c>
      <c r="C145" s="5" t="s">
        <v>237</v>
      </c>
      <c r="D145" s="5" t="s">
        <v>238</v>
      </c>
      <c r="E145" s="3">
        <v>0</v>
      </c>
      <c r="F145" s="3">
        <v>0</v>
      </c>
      <c r="G145" s="54">
        <f t="shared" si="24"/>
        <v>0</v>
      </c>
      <c r="H145" s="62">
        <f t="shared" si="23"/>
        <v>0</v>
      </c>
      <c r="I145" s="3">
        <f t="shared" si="21"/>
        <v>0</v>
      </c>
      <c r="J145" s="18">
        <f t="shared" si="22"/>
        <v>0</v>
      </c>
    </row>
    <row r="146" spans="2:10" x14ac:dyDescent="0.35">
      <c r="B146" s="32" t="s">
        <v>2544</v>
      </c>
      <c r="C146" s="5" t="s">
        <v>239</v>
      </c>
      <c r="D146" s="5" t="s">
        <v>240</v>
      </c>
      <c r="E146" s="3">
        <v>0</v>
      </c>
      <c r="F146" s="3">
        <v>0.5</v>
      </c>
      <c r="G146" s="54">
        <f t="shared" si="24"/>
        <v>0.8571428571428571</v>
      </c>
      <c r="H146" s="62">
        <f t="shared" si="23"/>
        <v>0.90857142857142859</v>
      </c>
      <c r="I146" s="3">
        <f t="shared" si="21"/>
        <v>0.95854285714285714</v>
      </c>
      <c r="J146" s="18">
        <f t="shared" si="22"/>
        <v>1.0093456285714284</v>
      </c>
    </row>
    <row r="147" spans="2:10" x14ac:dyDescent="0.35">
      <c r="B147" s="32" t="s">
        <v>2544</v>
      </c>
      <c r="C147" s="5" t="s">
        <v>241</v>
      </c>
      <c r="D147" s="5" t="s">
        <v>242</v>
      </c>
      <c r="E147" s="3">
        <v>25000</v>
      </c>
      <c r="F147" s="3">
        <v>2076.5300000000002</v>
      </c>
      <c r="G147" s="54">
        <f t="shared" si="24"/>
        <v>3559.7657142857151</v>
      </c>
      <c r="H147" s="62">
        <f t="shared" si="23"/>
        <v>3773.3516571428581</v>
      </c>
      <c r="I147" s="3">
        <f t="shared" si="21"/>
        <v>3980.8859982857152</v>
      </c>
      <c r="J147" s="18">
        <f t="shared" si="22"/>
        <v>4191.8729561948576</v>
      </c>
    </row>
    <row r="148" spans="2:10" x14ac:dyDescent="0.35">
      <c r="B148" s="32" t="s">
        <v>2544</v>
      </c>
      <c r="C148" s="5" t="s">
        <v>243</v>
      </c>
      <c r="D148" s="5" t="s">
        <v>244</v>
      </c>
      <c r="E148" s="3">
        <v>600</v>
      </c>
      <c r="F148" s="3">
        <v>576.03</v>
      </c>
      <c r="G148" s="54">
        <f t="shared" si="24"/>
        <v>987.4799999999999</v>
      </c>
      <c r="H148" s="62">
        <f t="shared" si="23"/>
        <v>1046.7287999999999</v>
      </c>
      <c r="I148" s="3">
        <f t="shared" si="21"/>
        <v>1104.2988839999998</v>
      </c>
      <c r="J148" s="18">
        <f t="shared" si="22"/>
        <v>1162.8267248519996</v>
      </c>
    </row>
    <row r="149" spans="2:10" x14ac:dyDescent="0.35">
      <c r="B149" s="32" t="s">
        <v>2544</v>
      </c>
      <c r="C149" s="5" t="s">
        <v>245</v>
      </c>
      <c r="D149" s="5" t="s">
        <v>246</v>
      </c>
      <c r="E149" s="3">
        <v>100000</v>
      </c>
      <c r="F149" s="3">
        <v>28102.67</v>
      </c>
      <c r="G149" s="54">
        <f t="shared" si="24"/>
        <v>48176.005714285711</v>
      </c>
      <c r="H149" s="62">
        <f t="shared" si="23"/>
        <v>51066.56605714286</v>
      </c>
      <c r="I149" s="3">
        <f t="shared" si="21"/>
        <v>53875.227190285717</v>
      </c>
      <c r="J149" s="18">
        <f t="shared" si="22"/>
        <v>56730.614231370855</v>
      </c>
    </row>
    <row r="150" spans="2:10" x14ac:dyDescent="0.35">
      <c r="B150" s="32" t="s">
        <v>2544</v>
      </c>
      <c r="C150" s="5" t="s">
        <v>247</v>
      </c>
      <c r="D150" s="5" t="s">
        <v>248</v>
      </c>
      <c r="E150" s="3">
        <v>100000</v>
      </c>
      <c r="F150" s="3">
        <v>50332.41</v>
      </c>
      <c r="G150" s="54">
        <f t="shared" si="24"/>
        <v>86284.131428571432</v>
      </c>
      <c r="H150" s="62">
        <f t="shared" si="23"/>
        <v>91461.17931428572</v>
      </c>
      <c r="I150" s="3">
        <f t="shared" si="21"/>
        <v>96491.544176571435</v>
      </c>
      <c r="J150" s="18">
        <f t="shared" si="22"/>
        <v>101605.59601792971</v>
      </c>
    </row>
    <row r="151" spans="2:10" x14ac:dyDescent="0.35">
      <c r="B151" s="32" t="s">
        <v>2544</v>
      </c>
      <c r="C151" s="5" t="s">
        <v>249</v>
      </c>
      <c r="D151" s="5" t="s">
        <v>250</v>
      </c>
      <c r="E151" s="3">
        <v>125000</v>
      </c>
      <c r="F151" s="3">
        <v>116378.56</v>
      </c>
      <c r="G151" s="54">
        <f t="shared" si="24"/>
        <v>199506.10285714286</v>
      </c>
      <c r="H151" s="62">
        <f t="shared" si="23"/>
        <v>211476.46902857145</v>
      </c>
      <c r="I151" s="3">
        <f t="shared" si="21"/>
        <v>223107.67482514287</v>
      </c>
      <c r="J151" s="18">
        <f t="shared" si="22"/>
        <v>234932.38159087542</v>
      </c>
    </row>
    <row r="152" spans="2:10" x14ac:dyDescent="0.35">
      <c r="B152" s="32" t="s">
        <v>2544</v>
      </c>
      <c r="C152" s="5" t="s">
        <v>251</v>
      </c>
      <c r="D152" s="5" t="s">
        <v>114</v>
      </c>
      <c r="E152" s="3">
        <v>0</v>
      </c>
      <c r="F152" s="3">
        <v>0</v>
      </c>
      <c r="G152" s="54">
        <f t="shared" si="24"/>
        <v>0</v>
      </c>
      <c r="H152" s="62">
        <f t="shared" si="23"/>
        <v>0</v>
      </c>
      <c r="I152" s="3">
        <f t="shared" si="21"/>
        <v>0</v>
      </c>
      <c r="J152" s="18">
        <f t="shared" si="22"/>
        <v>0</v>
      </c>
    </row>
    <row r="153" spans="2:10" x14ac:dyDescent="0.35">
      <c r="B153" s="32" t="s">
        <v>2544</v>
      </c>
      <c r="C153" s="5" t="s">
        <v>252</v>
      </c>
      <c r="D153" s="5" t="s">
        <v>116</v>
      </c>
      <c r="E153" s="3">
        <v>0</v>
      </c>
      <c r="F153" s="3">
        <v>0</v>
      </c>
      <c r="G153" s="54">
        <f t="shared" si="24"/>
        <v>0</v>
      </c>
      <c r="H153" s="62">
        <f t="shared" si="23"/>
        <v>0</v>
      </c>
      <c r="I153" s="3">
        <f t="shared" si="21"/>
        <v>0</v>
      </c>
      <c r="J153" s="18">
        <f t="shared" si="22"/>
        <v>0</v>
      </c>
    </row>
    <row r="154" spans="2:10" x14ac:dyDescent="0.35">
      <c r="B154" s="32" t="s">
        <v>2544</v>
      </c>
      <c r="C154" s="5" t="s">
        <v>253</v>
      </c>
      <c r="D154" s="5" t="s">
        <v>254</v>
      </c>
      <c r="E154" s="3">
        <v>1800000</v>
      </c>
      <c r="F154" s="3">
        <f>65906.55-193201.93</f>
        <v>-127295.37999999999</v>
      </c>
      <c r="G154" s="54">
        <f t="shared" si="24"/>
        <v>-218220.65142857138</v>
      </c>
      <c r="H154" s="62">
        <f t="shared" si="23"/>
        <v>-231313.89051428568</v>
      </c>
      <c r="I154" s="3">
        <f t="shared" si="21"/>
        <v>-244036.15449257137</v>
      </c>
      <c r="J154" s="18">
        <f t="shared" si="22"/>
        <v>-256970.07068067763</v>
      </c>
    </row>
    <row r="155" spans="2:10" x14ac:dyDescent="0.35">
      <c r="B155" s="32" t="s">
        <v>2544</v>
      </c>
      <c r="C155" s="5" t="s">
        <v>255</v>
      </c>
      <c r="D155" s="5" t="s">
        <v>256</v>
      </c>
      <c r="E155" s="3">
        <v>0</v>
      </c>
      <c r="F155" s="3">
        <v>0</v>
      </c>
      <c r="G155" s="54">
        <f t="shared" si="24"/>
        <v>0</v>
      </c>
      <c r="H155" s="62">
        <f t="shared" si="23"/>
        <v>0</v>
      </c>
      <c r="I155" s="3">
        <f t="shared" si="21"/>
        <v>0</v>
      </c>
      <c r="J155" s="18">
        <f t="shared" si="22"/>
        <v>0</v>
      </c>
    </row>
    <row r="156" spans="2:10" x14ac:dyDescent="0.35">
      <c r="B156" s="32" t="s">
        <v>2544</v>
      </c>
      <c r="C156" s="5" t="s">
        <v>257</v>
      </c>
      <c r="D156" s="66" t="s">
        <v>2602</v>
      </c>
      <c r="E156" s="3">
        <v>934000</v>
      </c>
      <c r="F156" s="3">
        <f>1992339.83-1877021.83</f>
        <v>115318</v>
      </c>
      <c r="G156" s="54">
        <f t="shared" si="24"/>
        <v>197688</v>
      </c>
      <c r="H156" s="62">
        <f t="shared" si="23"/>
        <v>209549.28</v>
      </c>
      <c r="I156" s="3">
        <f t="shared" si="21"/>
        <v>221074.49039999998</v>
      </c>
      <c r="J156" s="18">
        <f t="shared" si="22"/>
        <v>232791.43839119998</v>
      </c>
    </row>
    <row r="157" spans="2:10" x14ac:dyDescent="0.35">
      <c r="B157" s="32" t="s">
        <v>2544</v>
      </c>
      <c r="C157" s="5" t="s">
        <v>259</v>
      </c>
      <c r="D157" s="5" t="s">
        <v>260</v>
      </c>
      <c r="E157" s="3">
        <v>10490000</v>
      </c>
      <c r="F157" s="3">
        <f>7279760.27-3145</f>
        <v>7276615.2699999996</v>
      </c>
      <c r="G157" s="54">
        <f t="shared" si="24"/>
        <v>12474197.605714284</v>
      </c>
      <c r="H157" s="62">
        <f t="shared" si="23"/>
        <v>13222649.462057142</v>
      </c>
      <c r="I157" s="3">
        <f t="shared" si="21"/>
        <v>13949895.182470284</v>
      </c>
      <c r="J157" s="18">
        <f t="shared" si="22"/>
        <v>14689239.627141209</v>
      </c>
    </row>
    <row r="158" spans="2:10" x14ac:dyDescent="0.35">
      <c r="B158" s="32" t="s">
        <v>2544</v>
      </c>
      <c r="C158" s="5" t="s">
        <v>261</v>
      </c>
      <c r="D158" s="5" t="s">
        <v>262</v>
      </c>
      <c r="E158" s="3">
        <v>0</v>
      </c>
      <c r="F158" s="3">
        <v>0</v>
      </c>
      <c r="G158" s="54">
        <f t="shared" si="24"/>
        <v>0</v>
      </c>
      <c r="H158" s="62">
        <f t="shared" si="23"/>
        <v>0</v>
      </c>
      <c r="I158" s="3">
        <f t="shared" si="21"/>
        <v>0</v>
      </c>
      <c r="J158" s="18">
        <f t="shared" si="22"/>
        <v>0</v>
      </c>
    </row>
    <row r="159" spans="2:10" x14ac:dyDescent="0.35">
      <c r="B159" s="32" t="s">
        <v>2544</v>
      </c>
      <c r="C159" s="5" t="s">
        <v>263</v>
      </c>
      <c r="D159" s="5" t="s">
        <v>264</v>
      </c>
      <c r="E159" s="3">
        <v>0</v>
      </c>
      <c r="F159" s="3">
        <f>318439.26-3230</f>
        <v>315209.26</v>
      </c>
      <c r="G159" s="54">
        <f t="shared" si="24"/>
        <v>540358.73142857151</v>
      </c>
      <c r="H159" s="62">
        <f t="shared" si="23"/>
        <v>572780.25531428587</v>
      </c>
      <c r="I159" s="3">
        <f t="shared" si="21"/>
        <v>604283.16935657151</v>
      </c>
      <c r="J159" s="18">
        <f t="shared" si="22"/>
        <v>636310.17733246973</v>
      </c>
    </row>
    <row r="160" spans="2:10" x14ac:dyDescent="0.35">
      <c r="B160" s="32" t="s">
        <v>2544</v>
      </c>
      <c r="C160" s="5" t="s">
        <v>265</v>
      </c>
      <c r="D160" s="5" t="s">
        <v>2658</v>
      </c>
      <c r="E160" s="3">
        <v>0</v>
      </c>
      <c r="F160" s="3"/>
      <c r="G160" s="54">
        <f t="shared" si="24"/>
        <v>0</v>
      </c>
      <c r="H160" s="75">
        <v>45000</v>
      </c>
      <c r="I160" s="3">
        <f t="shared" si="21"/>
        <v>47475</v>
      </c>
      <c r="J160" s="18">
        <f t="shared" si="22"/>
        <v>49991.174999999996</v>
      </c>
    </row>
    <row r="161" spans="1:10" x14ac:dyDescent="0.35">
      <c r="B161" s="32" t="s">
        <v>2663</v>
      </c>
      <c r="C161" s="5"/>
      <c r="D161" s="5" t="s">
        <v>2662</v>
      </c>
      <c r="E161" s="3"/>
      <c r="F161" s="3"/>
      <c r="G161" s="54"/>
      <c r="H161" s="75"/>
      <c r="I161" s="3"/>
      <c r="J161" s="18"/>
    </row>
    <row r="162" spans="1:10" x14ac:dyDescent="0.35">
      <c r="B162" s="32" t="s">
        <v>2544</v>
      </c>
      <c r="C162" s="5" t="s">
        <v>267</v>
      </c>
      <c r="D162" s="5" t="s">
        <v>268</v>
      </c>
      <c r="E162" s="3">
        <v>0</v>
      </c>
      <c r="F162" s="3">
        <v>0</v>
      </c>
      <c r="G162" s="54">
        <f t="shared" si="24"/>
        <v>0</v>
      </c>
      <c r="H162" s="62">
        <f t="shared" si="23"/>
        <v>0</v>
      </c>
      <c r="I162" s="3">
        <f t="shared" si="21"/>
        <v>0</v>
      </c>
      <c r="J162" s="18">
        <f t="shared" si="22"/>
        <v>0</v>
      </c>
    </row>
    <row r="163" spans="1:10" x14ac:dyDescent="0.35">
      <c r="B163" s="32" t="s">
        <v>2544</v>
      </c>
      <c r="C163" s="5" t="s">
        <v>269</v>
      </c>
      <c r="D163" s="5" t="s">
        <v>270</v>
      </c>
      <c r="E163" s="3">
        <v>0</v>
      </c>
      <c r="F163" s="3">
        <v>0</v>
      </c>
      <c r="G163" s="54">
        <f t="shared" si="24"/>
        <v>0</v>
      </c>
      <c r="H163" s="62">
        <f t="shared" si="23"/>
        <v>0</v>
      </c>
      <c r="I163" s="3">
        <f t="shared" si="21"/>
        <v>0</v>
      </c>
      <c r="J163" s="18">
        <f t="shared" si="22"/>
        <v>0</v>
      </c>
    </row>
    <row r="164" spans="1:10" x14ac:dyDescent="0.35">
      <c r="B164" s="32" t="s">
        <v>2544</v>
      </c>
      <c r="C164" s="5" t="s">
        <v>271</v>
      </c>
      <c r="D164" s="5" t="s">
        <v>272</v>
      </c>
      <c r="E164" s="3">
        <v>0</v>
      </c>
      <c r="F164" s="3">
        <v>0</v>
      </c>
      <c r="G164" s="54">
        <f t="shared" si="24"/>
        <v>0</v>
      </c>
      <c r="H164" s="62">
        <f t="shared" si="23"/>
        <v>0</v>
      </c>
      <c r="I164" s="3">
        <f t="shared" si="21"/>
        <v>0</v>
      </c>
      <c r="J164" s="18">
        <f t="shared" si="22"/>
        <v>0</v>
      </c>
    </row>
    <row r="165" spans="1:10" x14ac:dyDescent="0.35">
      <c r="B165" s="32" t="s">
        <v>2544</v>
      </c>
      <c r="C165" s="5" t="s">
        <v>273</v>
      </c>
      <c r="D165" s="5" t="s">
        <v>120</v>
      </c>
      <c r="E165" s="3">
        <v>0</v>
      </c>
      <c r="F165" s="3">
        <v>0</v>
      </c>
      <c r="G165" s="54">
        <f t="shared" si="24"/>
        <v>0</v>
      </c>
      <c r="H165" s="62">
        <f t="shared" si="23"/>
        <v>0</v>
      </c>
      <c r="I165" s="3">
        <f t="shared" si="21"/>
        <v>0</v>
      </c>
      <c r="J165" s="18">
        <f t="shared" si="22"/>
        <v>0</v>
      </c>
    </row>
    <row r="166" spans="1:10" x14ac:dyDescent="0.35">
      <c r="B166" s="32" t="s">
        <v>2544</v>
      </c>
      <c r="C166" s="5" t="s">
        <v>274</v>
      </c>
      <c r="D166" s="5" t="s">
        <v>122</v>
      </c>
      <c r="E166" s="3">
        <v>-6261215</v>
      </c>
      <c r="F166" s="3">
        <v>0</v>
      </c>
      <c r="G166" s="54">
        <f t="shared" si="24"/>
        <v>0</v>
      </c>
      <c r="H166" s="62">
        <f t="shared" si="23"/>
        <v>0</v>
      </c>
      <c r="I166" s="3">
        <f t="shared" si="21"/>
        <v>0</v>
      </c>
      <c r="J166" s="18">
        <f t="shared" si="22"/>
        <v>0</v>
      </c>
    </row>
    <row r="167" spans="1:10" x14ac:dyDescent="0.35">
      <c r="B167" s="32" t="s">
        <v>2544</v>
      </c>
      <c r="C167" s="5" t="s">
        <v>275</v>
      </c>
      <c r="D167" s="5" t="s">
        <v>124</v>
      </c>
      <c r="E167" s="3">
        <v>0</v>
      </c>
      <c r="F167" s="3">
        <v>0</v>
      </c>
      <c r="G167" s="54">
        <f t="shared" si="24"/>
        <v>0</v>
      </c>
      <c r="H167" s="62">
        <f t="shared" si="23"/>
        <v>0</v>
      </c>
      <c r="I167" s="3">
        <f t="shared" si="21"/>
        <v>0</v>
      </c>
      <c r="J167" s="18">
        <f t="shared" si="22"/>
        <v>0</v>
      </c>
    </row>
    <row r="168" spans="1:10" s="8" customFormat="1" x14ac:dyDescent="0.35">
      <c r="B168" s="34" t="s">
        <v>2546</v>
      </c>
      <c r="C168" s="5"/>
      <c r="D168" s="5"/>
      <c r="E168" s="10">
        <f>SUM(E114:E167)</f>
        <v>14609503</v>
      </c>
      <c r="F168" s="10">
        <f t="shared" ref="F168:G168" si="25">SUM(F114:F167)</f>
        <v>12169672.52</v>
      </c>
      <c r="G168" s="59">
        <f t="shared" si="25"/>
        <v>20862295.748571426</v>
      </c>
      <c r="H168" s="63">
        <f t="shared" ref="H168:J168" si="26">SUM(H114:H167)</f>
        <v>22146373.531611428</v>
      </c>
      <c r="I168" s="10">
        <f t="shared" si="26"/>
        <v>23364424.075850055</v>
      </c>
      <c r="J168" s="22">
        <f t="shared" si="26"/>
        <v>24602738.551870104</v>
      </c>
    </row>
    <row r="169" spans="1:10" s="8" customFormat="1" ht="8.25" customHeight="1" x14ac:dyDescent="0.35">
      <c r="B169" s="23"/>
      <c r="E169" s="9"/>
      <c r="F169" s="9"/>
      <c r="G169" s="9"/>
      <c r="H169" s="64"/>
      <c r="I169" s="9"/>
      <c r="J169" s="21"/>
    </row>
    <row r="170" spans="1:10" s="8" customFormat="1" ht="15" thickBot="1" x14ac:dyDescent="0.4">
      <c r="B170" s="35" t="s">
        <v>2548</v>
      </c>
      <c r="C170" s="25"/>
      <c r="D170" s="25"/>
      <c r="E170" s="26">
        <f>+E112+E168</f>
        <v>590847</v>
      </c>
      <c r="F170" s="26">
        <f t="shared" ref="F170:G170" si="27">+F112+F168</f>
        <v>-3274370.4600000009</v>
      </c>
      <c r="G170" s="60">
        <f t="shared" si="27"/>
        <v>-5613206.5028571449</v>
      </c>
      <c r="H170" s="65">
        <f t="shared" ref="H170:J170" si="28">+H112+H168</f>
        <v>-3652590.2834742889</v>
      </c>
      <c r="I170" s="26">
        <f t="shared" si="28"/>
        <v>-3853482.7490653694</v>
      </c>
      <c r="J170" s="27">
        <f t="shared" si="28"/>
        <v>-4057717.334765844</v>
      </c>
    </row>
    <row r="171" spans="1:10" s="8" customFormat="1" x14ac:dyDescent="0.35">
      <c r="E171" s="9"/>
      <c r="F171" s="9"/>
      <c r="G171" s="9"/>
      <c r="H171" s="9"/>
      <c r="I171" s="9"/>
      <c r="J171" s="9"/>
    </row>
    <row r="172" spans="1:10" s="8" customFormat="1" x14ac:dyDescent="0.35">
      <c r="E172" s="9"/>
      <c r="F172" s="9"/>
      <c r="G172" s="9"/>
      <c r="H172" s="9"/>
      <c r="I172" s="9"/>
      <c r="J172" s="9"/>
    </row>
    <row r="173" spans="1:10" s="8" customFormat="1" ht="15" thickBot="1" x14ac:dyDescent="0.4">
      <c r="A173" s="28" t="s">
        <v>2587</v>
      </c>
      <c r="B173" s="28" t="s">
        <v>2550</v>
      </c>
      <c r="E173" s="9"/>
      <c r="F173" s="9"/>
      <c r="G173" s="9"/>
      <c r="H173" s="9"/>
      <c r="I173" s="9"/>
      <c r="J173" s="9"/>
    </row>
    <row r="174" spans="1:10" x14ac:dyDescent="0.35">
      <c r="B174" s="31" t="s">
        <v>2543</v>
      </c>
      <c r="C174" s="14" t="s">
        <v>276</v>
      </c>
      <c r="D174" s="14" t="s">
        <v>277</v>
      </c>
      <c r="E174" s="15">
        <v>-8042750</v>
      </c>
      <c r="F174" s="15">
        <f>677654.11-8671917.16</f>
        <v>-7994263.0499999998</v>
      </c>
      <c r="G174" s="58">
        <f t="shared" si="24"/>
        <v>-13704450.942857143</v>
      </c>
      <c r="H174" s="61">
        <f>+G174*1.06</f>
        <v>-14526717.999428572</v>
      </c>
      <c r="I174" s="15">
        <f>+H174*1.055</f>
        <v>-15325687.489397142</v>
      </c>
      <c r="J174" s="16">
        <f>+I174*1.053</f>
        <v>-16137948.926335189</v>
      </c>
    </row>
    <row r="175" spans="1:10" x14ac:dyDescent="0.35">
      <c r="B175" s="32" t="s">
        <v>2543</v>
      </c>
      <c r="C175" s="5" t="s">
        <v>278</v>
      </c>
      <c r="D175" s="5" t="s">
        <v>279</v>
      </c>
      <c r="E175" s="3">
        <v>0</v>
      </c>
      <c r="F175" s="3">
        <v>0</v>
      </c>
      <c r="G175" s="54">
        <f t="shared" si="24"/>
        <v>0</v>
      </c>
      <c r="H175" s="62">
        <f t="shared" ref="H175:H184" si="29">+G175*1.06</f>
        <v>0</v>
      </c>
      <c r="I175" s="3">
        <f t="shared" ref="I175:I184" si="30">+H175*1.055</f>
        <v>0</v>
      </c>
      <c r="J175" s="18">
        <f t="shared" ref="J175:J184" si="31">+I175*1.053</f>
        <v>0</v>
      </c>
    </row>
    <row r="176" spans="1:10" x14ac:dyDescent="0.35">
      <c r="B176" s="32" t="s">
        <v>2543</v>
      </c>
      <c r="C176" s="5" t="s">
        <v>280</v>
      </c>
      <c r="D176" s="5" t="s">
        <v>281</v>
      </c>
      <c r="E176" s="3">
        <v>0</v>
      </c>
      <c r="F176" s="3">
        <f>55188.24-11353.52</f>
        <v>43834.720000000001</v>
      </c>
      <c r="G176" s="54">
        <f t="shared" si="24"/>
        <v>75145.234285714279</v>
      </c>
      <c r="H176" s="62">
        <f t="shared" si="29"/>
        <v>79653.94834285714</v>
      </c>
      <c r="I176" s="3">
        <f t="shared" si="30"/>
        <v>84034.915501714277</v>
      </c>
      <c r="J176" s="18">
        <f t="shared" si="31"/>
        <v>88488.766023305128</v>
      </c>
    </row>
    <row r="177" spans="2:10" x14ac:dyDescent="0.35">
      <c r="B177" s="32" t="s">
        <v>2543</v>
      </c>
      <c r="C177" s="5" t="s">
        <v>282</v>
      </c>
      <c r="D177" s="5" t="s">
        <v>283</v>
      </c>
      <c r="E177" s="3">
        <v>2743969</v>
      </c>
      <c r="F177" s="3">
        <f>2772914.86-3073.71</f>
        <v>2769841.15</v>
      </c>
      <c r="G177" s="54">
        <f t="shared" si="24"/>
        <v>4748299.114285714</v>
      </c>
      <c r="H177" s="62">
        <f t="shared" si="29"/>
        <v>5033197.0611428572</v>
      </c>
      <c r="I177" s="3">
        <f t="shared" si="30"/>
        <v>5310022.899505714</v>
      </c>
      <c r="J177" s="18">
        <f t="shared" si="31"/>
        <v>5591454.113179516</v>
      </c>
    </row>
    <row r="178" spans="2:10" x14ac:dyDescent="0.35">
      <c r="B178" s="32" t="s">
        <v>2543</v>
      </c>
      <c r="C178" s="5" t="s">
        <v>284</v>
      </c>
      <c r="D178" s="5" t="s">
        <v>285</v>
      </c>
      <c r="E178" s="3">
        <v>416994</v>
      </c>
      <c r="F178" s="3">
        <v>423252.16</v>
      </c>
      <c r="G178" s="54">
        <f t="shared" si="24"/>
        <v>725575.13142857142</v>
      </c>
      <c r="H178" s="62">
        <f t="shared" si="29"/>
        <v>769109.63931428571</v>
      </c>
      <c r="I178" s="3">
        <f t="shared" si="30"/>
        <v>811410.66947657138</v>
      </c>
      <c r="J178" s="18">
        <f t="shared" si="31"/>
        <v>854415.43495882966</v>
      </c>
    </row>
    <row r="179" spans="2:10" x14ac:dyDescent="0.35">
      <c r="B179" s="32" t="s">
        <v>2543</v>
      </c>
      <c r="C179" s="5" t="s">
        <v>286</v>
      </c>
      <c r="D179" s="5" t="s">
        <v>287</v>
      </c>
      <c r="E179" s="3">
        <v>20000</v>
      </c>
      <c r="F179" s="3">
        <v>21080.92</v>
      </c>
      <c r="G179" s="54">
        <f t="shared" si="24"/>
        <v>36138.720000000001</v>
      </c>
      <c r="H179" s="62">
        <f t="shared" si="29"/>
        <v>38307.0432</v>
      </c>
      <c r="I179" s="3">
        <f t="shared" si="30"/>
        <v>40413.930575999999</v>
      </c>
      <c r="J179" s="18">
        <f t="shared" si="31"/>
        <v>42555.868896527994</v>
      </c>
    </row>
    <row r="180" spans="2:10" x14ac:dyDescent="0.35">
      <c r="B180" s="32" t="s">
        <v>2543</v>
      </c>
      <c r="C180" s="5" t="s">
        <v>288</v>
      </c>
      <c r="D180" s="5" t="s">
        <v>289</v>
      </c>
      <c r="E180" s="3">
        <v>-275000</v>
      </c>
      <c r="F180" s="3">
        <f>1935.2-131500.86</f>
        <v>-129565.65999999999</v>
      </c>
      <c r="G180" s="54">
        <f t="shared" si="24"/>
        <v>-222112.55999999997</v>
      </c>
      <c r="H180" s="62">
        <f t="shared" si="29"/>
        <v>-235439.31359999996</v>
      </c>
      <c r="I180" s="3">
        <f t="shared" si="30"/>
        <v>-248388.47584799994</v>
      </c>
      <c r="J180" s="18">
        <f t="shared" si="31"/>
        <v>-261553.06506794391</v>
      </c>
    </row>
    <row r="181" spans="2:10" x14ac:dyDescent="0.35">
      <c r="B181" s="32" t="s">
        <v>2543</v>
      </c>
      <c r="C181" s="5" t="s">
        <v>290</v>
      </c>
      <c r="D181" s="5" t="s">
        <v>291</v>
      </c>
      <c r="E181" s="3">
        <v>-343</v>
      </c>
      <c r="F181" s="3">
        <v>-228.5</v>
      </c>
      <c r="G181" s="54">
        <f t="shared" si="24"/>
        <v>-391.71428571428578</v>
      </c>
      <c r="H181" s="62">
        <f t="shared" si="29"/>
        <v>-415.21714285714296</v>
      </c>
      <c r="I181" s="3">
        <f t="shared" si="30"/>
        <v>-438.0540857142858</v>
      </c>
      <c r="J181" s="18">
        <f t="shared" si="31"/>
        <v>-461.27095225714294</v>
      </c>
    </row>
    <row r="182" spans="2:10" x14ac:dyDescent="0.35">
      <c r="B182" s="32" t="s">
        <v>2543</v>
      </c>
      <c r="C182" s="5" t="s">
        <v>292</v>
      </c>
      <c r="D182" s="5" t="s">
        <v>293</v>
      </c>
      <c r="E182" s="3">
        <v>-3750</v>
      </c>
      <c r="F182" s="3">
        <v>-1795.5</v>
      </c>
      <c r="G182" s="54">
        <f t="shared" si="24"/>
        <v>-3078</v>
      </c>
      <c r="H182" s="62">
        <f t="shared" si="29"/>
        <v>-3262.6800000000003</v>
      </c>
      <c r="I182" s="3">
        <f t="shared" si="30"/>
        <v>-3442.1274000000003</v>
      </c>
      <c r="J182" s="18">
        <f t="shared" si="31"/>
        <v>-3624.5601522000002</v>
      </c>
    </row>
    <row r="183" spans="2:10" x14ac:dyDescent="0.35">
      <c r="B183" s="32" t="s">
        <v>2543</v>
      </c>
      <c r="C183" s="5" t="s">
        <v>294</v>
      </c>
      <c r="D183" s="5" t="s">
        <v>30</v>
      </c>
      <c r="E183" s="3">
        <v>0</v>
      </c>
      <c r="F183" s="3">
        <v>0</v>
      </c>
      <c r="G183" s="54">
        <f t="shared" si="24"/>
        <v>0</v>
      </c>
      <c r="H183" s="62">
        <f t="shared" si="29"/>
        <v>0</v>
      </c>
      <c r="I183" s="3">
        <f t="shared" si="30"/>
        <v>0</v>
      </c>
      <c r="J183" s="18">
        <f t="shared" si="31"/>
        <v>0</v>
      </c>
    </row>
    <row r="184" spans="2:10" x14ac:dyDescent="0.35">
      <c r="B184" s="32" t="s">
        <v>2543</v>
      </c>
      <c r="C184" s="5" t="s">
        <v>295</v>
      </c>
      <c r="D184" s="5" t="s">
        <v>32</v>
      </c>
      <c r="E184" s="3">
        <v>0</v>
      </c>
      <c r="F184" s="3">
        <v>0</v>
      </c>
      <c r="G184" s="54">
        <f t="shared" si="24"/>
        <v>0</v>
      </c>
      <c r="H184" s="62">
        <f t="shared" si="29"/>
        <v>0</v>
      </c>
      <c r="I184" s="3">
        <f t="shared" si="30"/>
        <v>0</v>
      </c>
      <c r="J184" s="18">
        <f t="shared" si="31"/>
        <v>0</v>
      </c>
    </row>
    <row r="185" spans="2:10" s="8" customFormat="1" x14ac:dyDescent="0.35">
      <c r="B185" s="33" t="s">
        <v>2545</v>
      </c>
      <c r="C185" s="5"/>
      <c r="D185" s="5"/>
      <c r="E185" s="10">
        <f>SUM(E174:E184)</f>
        <v>-5140880</v>
      </c>
      <c r="F185" s="10">
        <f t="shared" ref="F185:G185" si="32">SUM(F174:F184)</f>
        <v>-4867843.76</v>
      </c>
      <c r="G185" s="59">
        <f t="shared" si="32"/>
        <v>-8344875.0171428584</v>
      </c>
      <c r="H185" s="63">
        <f t="shared" ref="H185:J185" si="33">SUM(H174:H184)</f>
        <v>-8845567.5181714278</v>
      </c>
      <c r="I185" s="10">
        <f t="shared" si="33"/>
        <v>-9332073.7316708583</v>
      </c>
      <c r="J185" s="22">
        <f t="shared" si="33"/>
        <v>-9826673.6394494101</v>
      </c>
    </row>
    <row r="186" spans="2:10" s="8" customFormat="1" x14ac:dyDescent="0.35">
      <c r="B186" s="23"/>
      <c r="E186" s="9"/>
      <c r="F186" s="9"/>
      <c r="G186" s="9"/>
      <c r="H186" s="64"/>
      <c r="I186" s="9"/>
      <c r="J186" s="21"/>
    </row>
    <row r="187" spans="2:10" x14ac:dyDescent="0.35">
      <c r="B187" s="32" t="s">
        <v>2544</v>
      </c>
      <c r="C187" s="5" t="s">
        <v>296</v>
      </c>
      <c r="D187" s="5" t="s">
        <v>52</v>
      </c>
      <c r="E187" s="3">
        <v>0</v>
      </c>
      <c r="F187" s="3">
        <v>0</v>
      </c>
      <c r="G187" s="54">
        <f t="shared" si="24"/>
        <v>0</v>
      </c>
      <c r="H187" s="62">
        <f>+G187*1.058</f>
        <v>0</v>
      </c>
      <c r="I187" s="3">
        <f>+H187*1.055</f>
        <v>0</v>
      </c>
      <c r="J187" s="18">
        <f>+I187*1.053</f>
        <v>0</v>
      </c>
    </row>
    <row r="188" spans="2:10" x14ac:dyDescent="0.35">
      <c r="B188" s="32" t="s">
        <v>2544</v>
      </c>
      <c r="C188" s="5" t="s">
        <v>297</v>
      </c>
      <c r="D188" s="5" t="s">
        <v>298</v>
      </c>
      <c r="E188" s="3">
        <v>1028000</v>
      </c>
      <c r="F188" s="3">
        <v>0</v>
      </c>
      <c r="G188" s="54">
        <f t="shared" si="24"/>
        <v>0</v>
      </c>
      <c r="H188" s="62">
        <f>+G188*1.06</f>
        <v>0</v>
      </c>
      <c r="I188" s="3">
        <f t="shared" ref="I188:I199" si="34">+H188*1.055</f>
        <v>0</v>
      </c>
      <c r="J188" s="18">
        <f t="shared" ref="J188:J199" si="35">+I188*1.053</f>
        <v>0</v>
      </c>
    </row>
    <row r="189" spans="2:10" x14ac:dyDescent="0.35">
      <c r="B189" s="32" t="s">
        <v>2544</v>
      </c>
      <c r="C189" s="5" t="s">
        <v>299</v>
      </c>
      <c r="D189" s="5" t="s">
        <v>64</v>
      </c>
      <c r="E189" s="3">
        <v>0</v>
      </c>
      <c r="F189" s="3">
        <v>0</v>
      </c>
      <c r="G189" s="54">
        <f t="shared" si="24"/>
        <v>0</v>
      </c>
      <c r="H189" s="62">
        <f t="shared" ref="H189:H198" si="36">+G189*1.06</f>
        <v>0</v>
      </c>
      <c r="I189" s="3">
        <f t="shared" si="34"/>
        <v>0</v>
      </c>
      <c r="J189" s="18">
        <f t="shared" si="35"/>
        <v>0</v>
      </c>
    </row>
    <row r="190" spans="2:10" x14ac:dyDescent="0.35">
      <c r="B190" s="32" t="s">
        <v>2544</v>
      </c>
      <c r="C190" s="5" t="s">
        <v>300</v>
      </c>
      <c r="D190" s="5" t="s">
        <v>66</v>
      </c>
      <c r="E190" s="3">
        <v>0</v>
      </c>
      <c r="F190" s="3">
        <v>0</v>
      </c>
      <c r="G190" s="54">
        <f t="shared" si="24"/>
        <v>0</v>
      </c>
      <c r="H190" s="62">
        <f t="shared" si="36"/>
        <v>0</v>
      </c>
      <c r="I190" s="3">
        <f t="shared" si="34"/>
        <v>0</v>
      </c>
      <c r="J190" s="18">
        <f t="shared" si="35"/>
        <v>0</v>
      </c>
    </row>
    <row r="191" spans="2:10" x14ac:dyDescent="0.35">
      <c r="B191" s="32" t="s">
        <v>2544</v>
      </c>
      <c r="C191" s="5" t="s">
        <v>301</v>
      </c>
      <c r="D191" s="5" t="s">
        <v>68</v>
      </c>
      <c r="E191" s="3">
        <v>0</v>
      </c>
      <c r="F191" s="3">
        <v>0</v>
      </c>
      <c r="G191" s="54">
        <f t="shared" si="24"/>
        <v>0</v>
      </c>
      <c r="H191" s="62">
        <f t="shared" si="36"/>
        <v>0</v>
      </c>
      <c r="I191" s="3">
        <f t="shared" si="34"/>
        <v>0</v>
      </c>
      <c r="J191" s="18">
        <f t="shared" si="35"/>
        <v>0</v>
      </c>
    </row>
    <row r="192" spans="2:10" x14ac:dyDescent="0.35">
      <c r="B192" s="32" t="s">
        <v>2544</v>
      </c>
      <c r="C192" s="5" t="s">
        <v>302</v>
      </c>
      <c r="D192" s="5" t="s">
        <v>303</v>
      </c>
      <c r="E192" s="3">
        <v>0</v>
      </c>
      <c r="F192" s="3">
        <v>0</v>
      </c>
      <c r="G192" s="54">
        <f t="shared" si="24"/>
        <v>0</v>
      </c>
      <c r="H192" s="62">
        <f t="shared" si="36"/>
        <v>0</v>
      </c>
      <c r="I192" s="3">
        <f t="shared" si="34"/>
        <v>0</v>
      </c>
      <c r="J192" s="18">
        <f t="shared" si="35"/>
        <v>0</v>
      </c>
    </row>
    <row r="193" spans="1:10" x14ac:dyDescent="0.35">
      <c r="B193" s="32"/>
      <c r="C193" s="5"/>
      <c r="D193" s="5" t="s">
        <v>2645</v>
      </c>
      <c r="E193" s="3"/>
      <c r="F193" s="3"/>
      <c r="G193" s="54"/>
      <c r="H193" s="75"/>
      <c r="I193" s="3"/>
      <c r="J193" s="18"/>
    </row>
    <row r="194" spans="1:10" x14ac:dyDescent="0.35">
      <c r="B194" s="32" t="s">
        <v>2544</v>
      </c>
      <c r="C194" s="5" t="s">
        <v>304</v>
      </c>
      <c r="D194" s="5" t="s">
        <v>305</v>
      </c>
      <c r="E194" s="3">
        <v>50000</v>
      </c>
      <c r="F194" s="3">
        <v>0</v>
      </c>
      <c r="G194" s="54">
        <f t="shared" si="24"/>
        <v>0</v>
      </c>
      <c r="H194" s="62">
        <f t="shared" si="36"/>
        <v>0</v>
      </c>
      <c r="I194" s="3">
        <f t="shared" si="34"/>
        <v>0</v>
      </c>
      <c r="J194" s="18">
        <f t="shared" si="35"/>
        <v>0</v>
      </c>
    </row>
    <row r="195" spans="1:10" x14ac:dyDescent="0.35">
      <c r="B195" s="32" t="s">
        <v>2544</v>
      </c>
      <c r="C195" s="5" t="s">
        <v>306</v>
      </c>
      <c r="D195" s="5" t="s">
        <v>307</v>
      </c>
      <c r="E195" s="3">
        <v>0</v>
      </c>
      <c r="F195" s="3">
        <v>0</v>
      </c>
      <c r="G195" s="54">
        <f t="shared" si="24"/>
        <v>0</v>
      </c>
      <c r="H195" s="62">
        <f t="shared" si="36"/>
        <v>0</v>
      </c>
      <c r="I195" s="3">
        <f t="shared" si="34"/>
        <v>0</v>
      </c>
      <c r="J195" s="18">
        <f t="shared" si="35"/>
        <v>0</v>
      </c>
    </row>
    <row r="196" spans="1:10" x14ac:dyDescent="0.35">
      <c r="B196" s="32" t="s">
        <v>2544</v>
      </c>
      <c r="C196" s="5" t="s">
        <v>308</v>
      </c>
      <c r="D196" s="5" t="s">
        <v>309</v>
      </c>
      <c r="E196" s="3">
        <v>0</v>
      </c>
      <c r="F196" s="3">
        <v>0</v>
      </c>
      <c r="G196" s="54">
        <f t="shared" si="24"/>
        <v>0</v>
      </c>
      <c r="H196" s="62">
        <f t="shared" si="36"/>
        <v>0</v>
      </c>
      <c r="I196" s="3">
        <f t="shared" si="34"/>
        <v>0</v>
      </c>
      <c r="J196" s="18">
        <f t="shared" si="35"/>
        <v>0</v>
      </c>
    </row>
    <row r="197" spans="1:10" x14ac:dyDescent="0.35">
      <c r="B197" s="32" t="s">
        <v>2544</v>
      </c>
      <c r="C197" s="5" t="s">
        <v>310</v>
      </c>
      <c r="D197" s="5" t="s">
        <v>120</v>
      </c>
      <c r="E197" s="3">
        <v>0</v>
      </c>
      <c r="F197" s="3">
        <v>0</v>
      </c>
      <c r="G197" s="54">
        <f t="shared" si="24"/>
        <v>0</v>
      </c>
      <c r="H197" s="62">
        <f t="shared" si="36"/>
        <v>0</v>
      </c>
      <c r="I197" s="3">
        <f t="shared" si="34"/>
        <v>0</v>
      </c>
      <c r="J197" s="18">
        <f t="shared" si="35"/>
        <v>0</v>
      </c>
    </row>
    <row r="198" spans="1:10" x14ac:dyDescent="0.35">
      <c r="B198" s="32" t="s">
        <v>2544</v>
      </c>
      <c r="C198" s="5" t="s">
        <v>311</v>
      </c>
      <c r="D198" s="5" t="s">
        <v>124</v>
      </c>
      <c r="E198" s="3">
        <v>0</v>
      </c>
      <c r="F198" s="3">
        <v>0</v>
      </c>
      <c r="G198" s="54">
        <f t="shared" si="24"/>
        <v>0</v>
      </c>
      <c r="H198" s="62">
        <f t="shared" si="36"/>
        <v>0</v>
      </c>
      <c r="I198" s="3">
        <f t="shared" si="34"/>
        <v>0</v>
      </c>
      <c r="J198" s="18">
        <f t="shared" si="35"/>
        <v>0</v>
      </c>
    </row>
    <row r="199" spans="1:10" s="8" customFormat="1" x14ac:dyDescent="0.35">
      <c r="B199" s="33" t="s">
        <v>2546</v>
      </c>
      <c r="C199" s="5"/>
      <c r="D199" s="5"/>
      <c r="E199" s="10">
        <f>SUM(E187:E198)</f>
        <v>1078000</v>
      </c>
      <c r="F199" s="10">
        <f t="shared" ref="F199:G199" si="37">SUM(F187:F198)</f>
        <v>0</v>
      </c>
      <c r="G199" s="59">
        <f t="shared" si="37"/>
        <v>0</v>
      </c>
      <c r="H199" s="63">
        <f t="shared" ref="H199" si="38">SUM(H187:H198)</f>
        <v>0</v>
      </c>
      <c r="I199" s="3">
        <f t="shared" si="34"/>
        <v>0</v>
      </c>
      <c r="J199" s="18">
        <f t="shared" si="35"/>
        <v>0</v>
      </c>
    </row>
    <row r="200" spans="1:10" s="8" customFormat="1" ht="9" customHeight="1" x14ac:dyDescent="0.35">
      <c r="B200" s="23"/>
      <c r="E200" s="9"/>
      <c r="F200" s="9"/>
      <c r="G200" s="9"/>
      <c r="H200" s="64"/>
      <c r="I200" s="9"/>
      <c r="J200" s="21"/>
    </row>
    <row r="201" spans="1:10" s="8" customFormat="1" ht="15" thickBot="1" x14ac:dyDescent="0.4">
      <c r="B201" s="35" t="s">
        <v>2548</v>
      </c>
      <c r="C201" s="25"/>
      <c r="D201" s="25"/>
      <c r="E201" s="26">
        <f>+E185+E199</f>
        <v>-4062880</v>
      </c>
      <c r="F201" s="26">
        <f t="shared" ref="F201:G201" si="39">+F185+F199</f>
        <v>-4867843.76</v>
      </c>
      <c r="G201" s="60">
        <f t="shared" si="39"/>
        <v>-8344875.0171428584</v>
      </c>
      <c r="H201" s="65">
        <f t="shared" ref="H201:J201" si="40">+H185+H199</f>
        <v>-8845567.5181714278</v>
      </c>
      <c r="I201" s="26">
        <f t="shared" si="40"/>
        <v>-9332073.7316708583</v>
      </c>
      <c r="J201" s="27">
        <f t="shared" si="40"/>
        <v>-9826673.6394494101</v>
      </c>
    </row>
    <row r="202" spans="1:10" s="8" customFormat="1" x14ac:dyDescent="0.35">
      <c r="E202" s="9"/>
      <c r="F202" s="9"/>
      <c r="G202" s="9"/>
      <c r="H202" s="9"/>
      <c r="I202" s="9"/>
      <c r="J202" s="9"/>
    </row>
    <row r="203" spans="1:10" s="8" customFormat="1" x14ac:dyDescent="0.35">
      <c r="E203" s="9"/>
      <c r="F203" s="9"/>
      <c r="G203" s="9"/>
      <c r="H203" s="9"/>
      <c r="I203" s="9"/>
      <c r="J203" s="9"/>
    </row>
    <row r="204" spans="1:10" s="8" customFormat="1" ht="15" thickBot="1" x14ac:dyDescent="0.4">
      <c r="A204" s="28" t="s">
        <v>2551</v>
      </c>
      <c r="B204" s="28" t="s">
        <v>2551</v>
      </c>
      <c r="E204" s="9"/>
      <c r="F204" s="9"/>
      <c r="G204" s="9"/>
      <c r="H204" s="9"/>
      <c r="I204" s="9"/>
      <c r="J204" s="9"/>
    </row>
    <row r="205" spans="1:10" x14ac:dyDescent="0.35">
      <c r="B205" s="31" t="s">
        <v>2543</v>
      </c>
      <c r="C205" s="14" t="s">
        <v>312</v>
      </c>
      <c r="D205" s="14" t="s">
        <v>126</v>
      </c>
      <c r="E205" s="15">
        <v>0</v>
      </c>
      <c r="F205" s="15">
        <v>0</v>
      </c>
      <c r="G205" s="58">
        <f t="shared" si="24"/>
        <v>0</v>
      </c>
      <c r="H205" s="61">
        <f>+G205*1.06</f>
        <v>0</v>
      </c>
      <c r="I205" s="15">
        <f>+H205*1.055</f>
        <v>0</v>
      </c>
      <c r="J205" s="16">
        <f>+I205*1.053</f>
        <v>0</v>
      </c>
    </row>
    <row r="206" spans="1:10" x14ac:dyDescent="0.35">
      <c r="B206" s="32" t="s">
        <v>2543</v>
      </c>
      <c r="C206" s="5" t="s">
        <v>313</v>
      </c>
      <c r="D206" s="5" t="s">
        <v>136</v>
      </c>
      <c r="E206" s="3">
        <v>0</v>
      </c>
      <c r="F206" s="3">
        <v>0</v>
      </c>
      <c r="G206" s="54">
        <f t="shared" si="24"/>
        <v>0</v>
      </c>
      <c r="H206" s="62">
        <f t="shared" ref="H206:H211" si="41">+G206*1.06</f>
        <v>0</v>
      </c>
      <c r="I206" s="3">
        <f t="shared" ref="I206:I211" si="42">+H206*1.055</f>
        <v>0</v>
      </c>
      <c r="J206" s="18">
        <f t="shared" ref="J206:J211" si="43">+I206*1.053</f>
        <v>0</v>
      </c>
    </row>
    <row r="207" spans="1:10" x14ac:dyDescent="0.35">
      <c r="B207" s="32" t="s">
        <v>2543</v>
      </c>
      <c r="C207" s="5" t="s">
        <v>314</v>
      </c>
      <c r="D207" s="5" t="s">
        <v>315</v>
      </c>
      <c r="E207" s="3">
        <v>0</v>
      </c>
      <c r="F207" s="3">
        <v>0</v>
      </c>
      <c r="G207" s="54">
        <f t="shared" ref="G207:G251" si="44">+F207/7*12</f>
        <v>0</v>
      </c>
      <c r="H207" s="62">
        <f t="shared" si="41"/>
        <v>0</v>
      </c>
      <c r="I207" s="3">
        <f t="shared" si="42"/>
        <v>0</v>
      </c>
      <c r="J207" s="18">
        <f t="shared" si="43"/>
        <v>0</v>
      </c>
    </row>
    <row r="208" spans="1:10" x14ac:dyDescent="0.35">
      <c r="B208" s="32" t="s">
        <v>2543</v>
      </c>
      <c r="C208" s="5" t="s">
        <v>316</v>
      </c>
      <c r="D208" s="5" t="s">
        <v>317</v>
      </c>
      <c r="E208" s="3">
        <v>-1000</v>
      </c>
      <c r="F208" s="3">
        <v>0</v>
      </c>
      <c r="G208" s="54">
        <f t="shared" si="44"/>
        <v>0</v>
      </c>
      <c r="H208" s="62">
        <f t="shared" si="41"/>
        <v>0</v>
      </c>
      <c r="I208" s="3">
        <f t="shared" si="42"/>
        <v>0</v>
      </c>
      <c r="J208" s="18">
        <f t="shared" si="43"/>
        <v>0</v>
      </c>
    </row>
    <row r="209" spans="2:10" x14ac:dyDescent="0.35">
      <c r="B209" s="32" t="s">
        <v>2543</v>
      </c>
      <c r="C209" s="5" t="s">
        <v>318</v>
      </c>
      <c r="D209" s="5" t="s">
        <v>30</v>
      </c>
      <c r="E209" s="3">
        <v>0</v>
      </c>
      <c r="F209" s="3">
        <v>0</v>
      </c>
      <c r="G209" s="54">
        <f t="shared" si="44"/>
        <v>0</v>
      </c>
      <c r="H209" s="62">
        <f t="shared" si="41"/>
        <v>0</v>
      </c>
      <c r="I209" s="3">
        <f t="shared" si="42"/>
        <v>0</v>
      </c>
      <c r="J209" s="18">
        <f t="shared" si="43"/>
        <v>0</v>
      </c>
    </row>
    <row r="210" spans="2:10" x14ac:dyDescent="0.35">
      <c r="B210" s="32" t="s">
        <v>2543</v>
      </c>
      <c r="C210" s="5" t="s">
        <v>319</v>
      </c>
      <c r="D210" s="5" t="s">
        <v>32</v>
      </c>
      <c r="E210" s="3">
        <v>0</v>
      </c>
      <c r="F210" s="3">
        <v>0</v>
      </c>
      <c r="G210" s="54">
        <f t="shared" si="44"/>
        <v>0</v>
      </c>
      <c r="H210" s="62">
        <f t="shared" si="41"/>
        <v>0</v>
      </c>
      <c r="I210" s="3">
        <f t="shared" si="42"/>
        <v>0</v>
      </c>
      <c r="J210" s="18">
        <f t="shared" si="43"/>
        <v>0</v>
      </c>
    </row>
    <row r="211" spans="2:10" s="8" customFormat="1" x14ac:dyDescent="0.35">
      <c r="B211" s="33" t="s">
        <v>2545</v>
      </c>
      <c r="C211" s="5"/>
      <c r="D211" s="5"/>
      <c r="E211" s="10">
        <f>SUM(E205:E210)</f>
        <v>-1000</v>
      </c>
      <c r="F211" s="10">
        <f t="shared" ref="F211:G211" si="45">SUM(F205:F210)</f>
        <v>0</v>
      </c>
      <c r="G211" s="59">
        <f t="shared" si="45"/>
        <v>0</v>
      </c>
      <c r="H211" s="62">
        <f t="shared" si="41"/>
        <v>0</v>
      </c>
      <c r="I211" s="3">
        <f t="shared" si="42"/>
        <v>0</v>
      </c>
      <c r="J211" s="18">
        <f t="shared" si="43"/>
        <v>0</v>
      </c>
    </row>
    <row r="212" spans="2:10" s="8" customFormat="1" x14ac:dyDescent="0.35">
      <c r="B212" s="23"/>
      <c r="E212" s="9"/>
      <c r="F212" s="9"/>
      <c r="G212" s="9"/>
      <c r="H212" s="64"/>
      <c r="I212" s="9"/>
      <c r="J212" s="21"/>
    </row>
    <row r="213" spans="2:10" x14ac:dyDescent="0.35">
      <c r="B213" s="32" t="s">
        <v>2544</v>
      </c>
      <c r="C213" s="5" t="s">
        <v>320</v>
      </c>
      <c r="D213" s="5" t="s">
        <v>34</v>
      </c>
      <c r="E213" s="3">
        <v>3988773</v>
      </c>
      <c r="F213" s="3">
        <f>1933609.09-2252.41</f>
        <v>1931356.6800000002</v>
      </c>
      <c r="G213" s="54">
        <f t="shared" si="44"/>
        <v>3310897.1657142858</v>
      </c>
      <c r="H213" s="62">
        <f>+G213*1.058</f>
        <v>3502929.2013257146</v>
      </c>
      <c r="I213" s="3">
        <f>+H213*1.055</f>
        <v>3695590.3073986284</v>
      </c>
      <c r="J213" s="18">
        <f>+I213*1.053</f>
        <v>3891456.5936907553</v>
      </c>
    </row>
    <row r="214" spans="2:10" x14ac:dyDescent="0.35">
      <c r="B214" s="32" t="s">
        <v>2544</v>
      </c>
      <c r="C214" s="5" t="s">
        <v>321</v>
      </c>
      <c r="D214" s="5" t="s">
        <v>36</v>
      </c>
      <c r="E214" s="3">
        <v>332398</v>
      </c>
      <c r="F214" s="3">
        <v>224947.3</v>
      </c>
      <c r="G214" s="54">
        <f t="shared" si="44"/>
        <v>385623.94285714283</v>
      </c>
      <c r="H214" s="62">
        <f t="shared" ref="H214:H224" si="46">+G214*1.058</f>
        <v>407990.13154285715</v>
      </c>
      <c r="I214" s="3">
        <f t="shared" ref="I214:I251" si="47">+H214*1.055</f>
        <v>430429.58877771429</v>
      </c>
      <c r="J214" s="18">
        <f t="shared" ref="J214:J251" si="48">+I214*1.053</f>
        <v>453242.35698293312</v>
      </c>
    </row>
    <row r="215" spans="2:10" x14ac:dyDescent="0.35">
      <c r="B215" s="32" t="s">
        <v>2544</v>
      </c>
      <c r="C215" s="5" t="s">
        <v>322</v>
      </c>
      <c r="D215" s="5" t="s">
        <v>38</v>
      </c>
      <c r="E215" s="3">
        <v>0</v>
      </c>
      <c r="F215" s="3">
        <v>0</v>
      </c>
      <c r="G215" s="54">
        <f t="shared" si="44"/>
        <v>0</v>
      </c>
      <c r="H215" s="62">
        <f t="shared" si="46"/>
        <v>0</v>
      </c>
      <c r="I215" s="3">
        <f t="shared" si="47"/>
        <v>0</v>
      </c>
      <c r="J215" s="18">
        <f t="shared" si="48"/>
        <v>0</v>
      </c>
    </row>
    <row r="216" spans="2:10" x14ac:dyDescent="0.35">
      <c r="B216" s="32" t="s">
        <v>2544</v>
      </c>
      <c r="C216" s="5" t="s">
        <v>323</v>
      </c>
      <c r="D216" s="5" t="s">
        <v>40</v>
      </c>
      <c r="E216" s="3">
        <v>0</v>
      </c>
      <c r="F216" s="3">
        <v>0</v>
      </c>
      <c r="G216" s="54">
        <f t="shared" si="44"/>
        <v>0</v>
      </c>
      <c r="H216" s="62">
        <f t="shared" si="46"/>
        <v>0</v>
      </c>
      <c r="I216" s="3">
        <f t="shared" si="47"/>
        <v>0</v>
      </c>
      <c r="J216" s="18">
        <f t="shared" si="48"/>
        <v>0</v>
      </c>
    </row>
    <row r="217" spans="2:10" x14ac:dyDescent="0.35">
      <c r="B217" s="32" t="s">
        <v>2544</v>
      </c>
      <c r="C217" s="5" t="s">
        <v>324</v>
      </c>
      <c r="D217" s="5" t="s">
        <v>197</v>
      </c>
      <c r="E217" s="3">
        <v>0</v>
      </c>
      <c r="F217" s="3">
        <v>0</v>
      </c>
      <c r="G217" s="54">
        <f t="shared" si="44"/>
        <v>0</v>
      </c>
      <c r="H217" s="62">
        <f t="shared" si="46"/>
        <v>0</v>
      </c>
      <c r="I217" s="3">
        <f t="shared" si="47"/>
        <v>0</v>
      </c>
      <c r="J217" s="18">
        <f t="shared" si="48"/>
        <v>0</v>
      </c>
    </row>
    <row r="218" spans="2:10" x14ac:dyDescent="0.35">
      <c r="B218" s="32" t="s">
        <v>2544</v>
      </c>
      <c r="C218" s="5" t="s">
        <v>325</v>
      </c>
      <c r="D218" s="5" t="s">
        <v>42</v>
      </c>
      <c r="E218" s="3">
        <v>96846</v>
      </c>
      <c r="F218" s="3">
        <v>47863.55</v>
      </c>
      <c r="G218" s="54">
        <f t="shared" si="44"/>
        <v>82051.8</v>
      </c>
      <c r="H218" s="62">
        <f t="shared" si="46"/>
        <v>86810.804400000008</v>
      </c>
      <c r="I218" s="3">
        <f t="shared" si="47"/>
        <v>91585.398642</v>
      </c>
      <c r="J218" s="18">
        <f t="shared" si="48"/>
        <v>96439.424770025988</v>
      </c>
    </row>
    <row r="219" spans="2:10" x14ac:dyDescent="0.35">
      <c r="B219" s="32" t="s">
        <v>2544</v>
      </c>
      <c r="C219" s="5" t="s">
        <v>326</v>
      </c>
      <c r="D219" s="5" t="s">
        <v>44</v>
      </c>
      <c r="E219" s="3">
        <v>18830</v>
      </c>
      <c r="F219" s="3">
        <v>9837.68</v>
      </c>
      <c r="G219" s="54">
        <f t="shared" si="44"/>
        <v>16864.594285714287</v>
      </c>
      <c r="H219" s="62">
        <f t="shared" si="46"/>
        <v>17842.740754285718</v>
      </c>
      <c r="I219" s="3">
        <f t="shared" si="47"/>
        <v>18824.09149577143</v>
      </c>
      <c r="J219" s="18">
        <f t="shared" si="48"/>
        <v>19821.768345047316</v>
      </c>
    </row>
    <row r="220" spans="2:10" x14ac:dyDescent="0.35">
      <c r="B220" s="32" t="s">
        <v>2544</v>
      </c>
      <c r="C220" s="5" t="s">
        <v>327</v>
      </c>
      <c r="D220" s="5" t="s">
        <v>46</v>
      </c>
      <c r="E220" s="3">
        <v>39888</v>
      </c>
      <c r="F220" s="3">
        <v>691.56</v>
      </c>
      <c r="G220" s="54">
        <f t="shared" si="44"/>
        <v>1185.5314285714285</v>
      </c>
      <c r="H220" s="62">
        <f t="shared" si="46"/>
        <v>1254.2922514285715</v>
      </c>
      <c r="I220" s="3">
        <f t="shared" si="47"/>
        <v>1323.2783252571428</v>
      </c>
      <c r="J220" s="18">
        <f t="shared" si="48"/>
        <v>1393.4120764957713</v>
      </c>
    </row>
    <row r="221" spans="2:10" x14ac:dyDescent="0.35">
      <c r="B221" s="32" t="s">
        <v>2544</v>
      </c>
      <c r="C221" s="5" t="s">
        <v>328</v>
      </c>
      <c r="D221" s="5" t="s">
        <v>48</v>
      </c>
      <c r="E221" s="3">
        <v>251210</v>
      </c>
      <c r="F221" s="3">
        <v>0</v>
      </c>
      <c r="G221" s="54">
        <f t="shared" si="44"/>
        <v>0</v>
      </c>
      <c r="H221" s="62">
        <f t="shared" si="46"/>
        <v>0</v>
      </c>
      <c r="I221" s="3">
        <f t="shared" si="47"/>
        <v>0</v>
      </c>
      <c r="J221" s="18">
        <f t="shared" si="48"/>
        <v>0</v>
      </c>
    </row>
    <row r="222" spans="2:10" x14ac:dyDescent="0.35">
      <c r="B222" s="32" t="s">
        <v>2544</v>
      </c>
      <c r="C222" s="5" t="s">
        <v>329</v>
      </c>
      <c r="D222" s="5" t="s">
        <v>50</v>
      </c>
      <c r="E222" s="3">
        <v>39888</v>
      </c>
      <c r="F222" s="3">
        <v>19934.97</v>
      </c>
      <c r="G222" s="54">
        <f t="shared" si="44"/>
        <v>34174.234285714287</v>
      </c>
      <c r="H222" s="62">
        <f t="shared" si="46"/>
        <v>36156.339874285717</v>
      </c>
      <c r="I222" s="3">
        <f t="shared" si="47"/>
        <v>38144.938567371428</v>
      </c>
      <c r="J222" s="18">
        <f t="shared" si="48"/>
        <v>40166.620311442108</v>
      </c>
    </row>
    <row r="223" spans="2:10" x14ac:dyDescent="0.35">
      <c r="B223" s="32" t="s">
        <v>2544</v>
      </c>
      <c r="C223" s="5" t="s">
        <v>330</v>
      </c>
      <c r="D223" s="5" t="s">
        <v>331</v>
      </c>
      <c r="E223" s="3">
        <v>3141</v>
      </c>
      <c r="F223" s="3">
        <v>0</v>
      </c>
      <c r="G223" s="54">
        <f t="shared" si="44"/>
        <v>0</v>
      </c>
      <c r="H223" s="62">
        <f t="shared" si="46"/>
        <v>0</v>
      </c>
      <c r="I223" s="3">
        <f t="shared" si="47"/>
        <v>0</v>
      </c>
      <c r="J223" s="18">
        <f t="shared" si="48"/>
        <v>0</v>
      </c>
    </row>
    <row r="224" spans="2:10" x14ac:dyDescent="0.35">
      <c r="B224" s="32" t="s">
        <v>2544</v>
      </c>
      <c r="C224" s="5" t="s">
        <v>332</v>
      </c>
      <c r="D224" s="5" t="s">
        <v>52</v>
      </c>
      <c r="E224" s="3">
        <v>0</v>
      </c>
      <c r="F224" s="3">
        <v>93333.47</v>
      </c>
      <c r="G224" s="54">
        <f t="shared" si="44"/>
        <v>160000.23428571428</v>
      </c>
      <c r="H224" s="62">
        <f t="shared" si="46"/>
        <v>169280.24787428571</v>
      </c>
      <c r="I224" s="3">
        <f t="shared" si="47"/>
        <v>178590.66150737141</v>
      </c>
      <c r="J224" s="18">
        <f t="shared" si="48"/>
        <v>188055.96656726208</v>
      </c>
    </row>
    <row r="225" spans="2:10" x14ac:dyDescent="0.35">
      <c r="B225" s="32" t="s">
        <v>2544</v>
      </c>
      <c r="C225" s="5" t="s">
        <v>333</v>
      </c>
      <c r="D225" s="5" t="s">
        <v>64</v>
      </c>
      <c r="E225" s="3">
        <v>217800</v>
      </c>
      <c r="F225" s="3">
        <v>0</v>
      </c>
      <c r="G225" s="54">
        <f t="shared" si="44"/>
        <v>0</v>
      </c>
      <c r="H225" s="62">
        <f>+G225*1.06</f>
        <v>0</v>
      </c>
      <c r="I225" s="3">
        <f t="shared" si="47"/>
        <v>0</v>
      </c>
      <c r="J225" s="18">
        <f t="shared" si="48"/>
        <v>0</v>
      </c>
    </row>
    <row r="226" spans="2:10" x14ac:dyDescent="0.35">
      <c r="B226" s="32" t="s">
        <v>2544</v>
      </c>
      <c r="C226" s="5" t="s">
        <v>334</v>
      </c>
      <c r="D226" s="5" t="s">
        <v>66</v>
      </c>
      <c r="E226" s="3">
        <v>0</v>
      </c>
      <c r="F226" s="3">
        <v>0</v>
      </c>
      <c r="G226" s="54">
        <f t="shared" si="44"/>
        <v>0</v>
      </c>
      <c r="H226" s="62">
        <f t="shared" ref="H226:H251" si="49">+G226*1.06</f>
        <v>0</v>
      </c>
      <c r="I226" s="3">
        <f t="shared" si="47"/>
        <v>0</v>
      </c>
      <c r="J226" s="18">
        <f t="shared" si="48"/>
        <v>0</v>
      </c>
    </row>
    <row r="227" spans="2:10" x14ac:dyDescent="0.35">
      <c r="B227" s="32" t="s">
        <v>2544</v>
      </c>
      <c r="C227" s="5" t="s">
        <v>335</v>
      </c>
      <c r="D227" s="5" t="s">
        <v>68</v>
      </c>
      <c r="E227" s="3">
        <v>0</v>
      </c>
      <c r="F227" s="3">
        <v>0</v>
      </c>
      <c r="G227" s="54">
        <f t="shared" si="44"/>
        <v>0</v>
      </c>
      <c r="H227" s="62">
        <f t="shared" si="49"/>
        <v>0</v>
      </c>
      <c r="I227" s="3">
        <f t="shared" si="47"/>
        <v>0</v>
      </c>
      <c r="J227" s="18">
        <f t="shared" si="48"/>
        <v>0</v>
      </c>
    </row>
    <row r="228" spans="2:10" x14ac:dyDescent="0.35">
      <c r="B228" s="32" t="s">
        <v>2544</v>
      </c>
      <c r="C228" s="5" t="s">
        <v>336</v>
      </c>
      <c r="D228" s="5" t="s">
        <v>90</v>
      </c>
      <c r="E228" s="3">
        <v>6000</v>
      </c>
      <c r="F228" s="3">
        <v>6000</v>
      </c>
      <c r="G228" s="54">
        <f t="shared" si="44"/>
        <v>10285.714285714286</v>
      </c>
      <c r="H228" s="62">
        <f t="shared" si="49"/>
        <v>10902.857142857143</v>
      </c>
      <c r="I228" s="3">
        <f t="shared" si="47"/>
        <v>11502.514285714286</v>
      </c>
      <c r="J228" s="18">
        <f t="shared" si="48"/>
        <v>12112.147542857141</v>
      </c>
    </row>
    <row r="229" spans="2:10" x14ac:dyDescent="0.35">
      <c r="B229" s="32" t="s">
        <v>2544</v>
      </c>
      <c r="C229" s="5" t="s">
        <v>337</v>
      </c>
      <c r="D229" s="5" t="s">
        <v>92</v>
      </c>
      <c r="E229" s="3">
        <v>500</v>
      </c>
      <c r="F229" s="3">
        <v>0</v>
      </c>
      <c r="G229" s="54">
        <f t="shared" si="44"/>
        <v>0</v>
      </c>
      <c r="H229" s="62">
        <f t="shared" si="49"/>
        <v>0</v>
      </c>
      <c r="I229" s="3">
        <f t="shared" si="47"/>
        <v>0</v>
      </c>
      <c r="J229" s="18">
        <f t="shared" si="48"/>
        <v>0</v>
      </c>
    </row>
    <row r="230" spans="2:10" x14ac:dyDescent="0.35">
      <c r="B230" s="32" t="s">
        <v>2544</v>
      </c>
      <c r="C230" s="5" t="s">
        <v>338</v>
      </c>
      <c r="D230" s="5" t="s">
        <v>94</v>
      </c>
      <c r="E230" s="3">
        <v>0</v>
      </c>
      <c r="F230" s="3">
        <v>-542.59</v>
      </c>
      <c r="G230" s="54">
        <f t="shared" si="44"/>
        <v>-930.15428571428572</v>
      </c>
      <c r="H230" s="62">
        <f t="shared" si="49"/>
        <v>-985.9635428571429</v>
      </c>
      <c r="I230" s="3">
        <f t="shared" si="47"/>
        <v>-1040.1915377142857</v>
      </c>
      <c r="J230" s="18">
        <f t="shared" si="48"/>
        <v>-1095.3216892131427</v>
      </c>
    </row>
    <row r="231" spans="2:10" x14ac:dyDescent="0.35">
      <c r="B231" s="32" t="s">
        <v>2544</v>
      </c>
      <c r="C231" s="5" t="s">
        <v>339</v>
      </c>
      <c r="D231" s="5" t="s">
        <v>340</v>
      </c>
      <c r="E231" s="3">
        <v>2000</v>
      </c>
      <c r="F231" s="3">
        <f>1408-172.91</f>
        <v>1235.0899999999999</v>
      </c>
      <c r="G231" s="54">
        <f t="shared" si="44"/>
        <v>2117.2971428571427</v>
      </c>
      <c r="H231" s="62">
        <f t="shared" si="49"/>
        <v>2244.3349714285714</v>
      </c>
      <c r="I231" s="3">
        <f t="shared" si="47"/>
        <v>2367.7733948571426</v>
      </c>
      <c r="J231" s="18">
        <f t="shared" si="48"/>
        <v>2493.2653847845709</v>
      </c>
    </row>
    <row r="232" spans="2:10" x14ac:dyDescent="0.35">
      <c r="B232" s="32" t="s">
        <v>2544</v>
      </c>
      <c r="C232" s="5" t="s">
        <v>341</v>
      </c>
      <c r="D232" s="5" t="s">
        <v>342</v>
      </c>
      <c r="E232" s="3">
        <v>0</v>
      </c>
      <c r="F232" s="3">
        <v>0</v>
      </c>
      <c r="G232" s="54">
        <f t="shared" si="44"/>
        <v>0</v>
      </c>
      <c r="H232" s="62">
        <f t="shared" si="49"/>
        <v>0</v>
      </c>
      <c r="I232" s="3">
        <f t="shared" si="47"/>
        <v>0</v>
      </c>
      <c r="J232" s="18">
        <f t="shared" si="48"/>
        <v>0</v>
      </c>
    </row>
    <row r="233" spans="2:10" x14ac:dyDescent="0.35">
      <c r="B233" s="32" t="s">
        <v>2544</v>
      </c>
      <c r="C233" s="5" t="s">
        <v>343</v>
      </c>
      <c r="D233" s="5" t="s">
        <v>344</v>
      </c>
      <c r="E233" s="3">
        <v>15000</v>
      </c>
      <c r="F233" s="3">
        <v>7385.13</v>
      </c>
      <c r="G233" s="54">
        <f t="shared" si="44"/>
        <v>12660.222857142857</v>
      </c>
      <c r="H233" s="62">
        <f t="shared" si="49"/>
        <v>13419.836228571428</v>
      </c>
      <c r="I233" s="3">
        <f t="shared" si="47"/>
        <v>14157.927221142856</v>
      </c>
      <c r="J233" s="18">
        <f t="shared" si="48"/>
        <v>14908.297363863427</v>
      </c>
    </row>
    <row r="234" spans="2:10" x14ac:dyDescent="0.35">
      <c r="B234" s="32" t="s">
        <v>2544</v>
      </c>
      <c r="C234" s="5" t="s">
        <v>345</v>
      </c>
      <c r="D234" s="5" t="s">
        <v>346</v>
      </c>
      <c r="E234" s="3">
        <v>0</v>
      </c>
      <c r="F234" s="3">
        <v>0</v>
      </c>
      <c r="G234" s="54">
        <f t="shared" si="44"/>
        <v>0</v>
      </c>
      <c r="H234" s="62">
        <f t="shared" si="49"/>
        <v>0</v>
      </c>
      <c r="I234" s="3">
        <f t="shared" si="47"/>
        <v>0</v>
      </c>
      <c r="J234" s="18">
        <f t="shared" si="48"/>
        <v>0</v>
      </c>
    </row>
    <row r="235" spans="2:10" x14ac:dyDescent="0.35">
      <c r="B235" s="32" t="s">
        <v>2544</v>
      </c>
      <c r="C235" s="5" t="s">
        <v>347</v>
      </c>
      <c r="D235" s="5" t="s">
        <v>223</v>
      </c>
      <c r="E235" s="3">
        <v>250000</v>
      </c>
      <c r="F235" s="3">
        <v>29509.27</v>
      </c>
      <c r="G235" s="54">
        <f t="shared" si="44"/>
        <v>50587.319999999992</v>
      </c>
      <c r="H235" s="62">
        <f t="shared" si="49"/>
        <v>53622.559199999996</v>
      </c>
      <c r="I235" s="3">
        <f t="shared" si="47"/>
        <v>56571.799955999995</v>
      </c>
      <c r="J235" s="18">
        <f t="shared" si="48"/>
        <v>59570.10535366799</v>
      </c>
    </row>
    <row r="236" spans="2:10" x14ac:dyDescent="0.35">
      <c r="B236" s="32" t="s">
        <v>2544</v>
      </c>
      <c r="C236" s="5" t="s">
        <v>348</v>
      </c>
      <c r="D236" s="5" t="s">
        <v>349</v>
      </c>
      <c r="E236" s="3">
        <v>2000</v>
      </c>
      <c r="F236" s="3">
        <f>209.2-25.69</f>
        <v>183.51</v>
      </c>
      <c r="G236" s="54">
        <f t="shared" si="44"/>
        <v>314.58857142857141</v>
      </c>
      <c r="H236" s="62">
        <f t="shared" si="49"/>
        <v>333.46388571428571</v>
      </c>
      <c r="I236" s="3">
        <f t="shared" si="47"/>
        <v>351.8043994285714</v>
      </c>
      <c r="J236" s="18">
        <f t="shared" si="48"/>
        <v>370.45003259828565</v>
      </c>
    </row>
    <row r="237" spans="2:10" x14ac:dyDescent="0.35">
      <c r="B237" s="32" t="s">
        <v>2544</v>
      </c>
      <c r="C237" s="5" t="s">
        <v>350</v>
      </c>
      <c r="D237" s="5" t="s">
        <v>351</v>
      </c>
      <c r="E237" s="3">
        <v>750</v>
      </c>
      <c r="F237" s="3">
        <v>1432.9</v>
      </c>
      <c r="G237" s="54">
        <f t="shared" si="44"/>
        <v>2456.4</v>
      </c>
      <c r="H237" s="62">
        <f t="shared" si="49"/>
        <v>2603.7840000000001</v>
      </c>
      <c r="I237" s="3">
        <f t="shared" si="47"/>
        <v>2746.9921199999999</v>
      </c>
      <c r="J237" s="18">
        <f t="shared" si="48"/>
        <v>2892.5827023599995</v>
      </c>
    </row>
    <row r="238" spans="2:10" x14ac:dyDescent="0.35">
      <c r="B238" s="32" t="s">
        <v>2544</v>
      </c>
      <c r="C238" s="5" t="s">
        <v>352</v>
      </c>
      <c r="D238" s="5" t="s">
        <v>98</v>
      </c>
      <c r="E238" s="3">
        <v>30000</v>
      </c>
      <c r="F238" s="3">
        <v>5623</v>
      </c>
      <c r="G238" s="54">
        <f t="shared" si="44"/>
        <v>9639.4285714285725</v>
      </c>
      <c r="H238" s="62">
        <f t="shared" si="49"/>
        <v>10217.794285714288</v>
      </c>
      <c r="I238" s="3">
        <f t="shared" si="47"/>
        <v>10779.772971428572</v>
      </c>
      <c r="J238" s="18">
        <f t="shared" si="48"/>
        <v>11351.100938914286</v>
      </c>
    </row>
    <row r="239" spans="2:10" x14ac:dyDescent="0.35">
      <c r="B239" s="32" t="s">
        <v>2544</v>
      </c>
      <c r="C239" s="5" t="s">
        <v>353</v>
      </c>
      <c r="D239" s="5" t="s">
        <v>102</v>
      </c>
      <c r="E239" s="3">
        <v>0</v>
      </c>
      <c r="F239" s="3">
        <v>0</v>
      </c>
      <c r="G239" s="54">
        <f t="shared" si="44"/>
        <v>0</v>
      </c>
      <c r="H239" s="62">
        <f t="shared" si="49"/>
        <v>0</v>
      </c>
      <c r="I239" s="3">
        <f t="shared" si="47"/>
        <v>0</v>
      </c>
      <c r="J239" s="18">
        <f t="shared" si="48"/>
        <v>0</v>
      </c>
    </row>
    <row r="240" spans="2:10" x14ac:dyDescent="0.35">
      <c r="B240" s="32" t="s">
        <v>2544</v>
      </c>
      <c r="C240" s="5" t="s">
        <v>354</v>
      </c>
      <c r="D240" s="5" t="s">
        <v>355</v>
      </c>
      <c r="E240" s="3">
        <v>5000</v>
      </c>
      <c r="F240" s="3">
        <f>171470.3-500</f>
        <v>170970.3</v>
      </c>
      <c r="G240" s="54">
        <f t="shared" si="44"/>
        <v>293091.94285714283</v>
      </c>
      <c r="H240" s="62">
        <f t="shared" si="49"/>
        <v>310677.4594285714</v>
      </c>
      <c r="I240" s="3">
        <f t="shared" si="47"/>
        <v>327764.71969714278</v>
      </c>
      <c r="J240" s="18">
        <f t="shared" si="48"/>
        <v>345136.24984109134</v>
      </c>
    </row>
    <row r="241" spans="2:10" x14ac:dyDescent="0.35">
      <c r="B241" s="32" t="s">
        <v>2544</v>
      </c>
      <c r="C241" s="5" t="s">
        <v>356</v>
      </c>
      <c r="D241" s="5" t="s">
        <v>357</v>
      </c>
      <c r="E241" s="3">
        <v>3500</v>
      </c>
      <c r="F241" s="3">
        <v>2576</v>
      </c>
      <c r="G241" s="54">
        <f t="shared" si="44"/>
        <v>4416</v>
      </c>
      <c r="H241" s="62">
        <f t="shared" si="49"/>
        <v>4680.96</v>
      </c>
      <c r="I241" s="3">
        <f t="shared" si="47"/>
        <v>4938.4128000000001</v>
      </c>
      <c r="J241" s="18">
        <f t="shared" si="48"/>
        <v>5200.1486783999999</v>
      </c>
    </row>
    <row r="242" spans="2:10" x14ac:dyDescent="0.35">
      <c r="B242" s="32" t="s">
        <v>2544</v>
      </c>
      <c r="C242" s="5" t="s">
        <v>358</v>
      </c>
      <c r="D242" s="5" t="s">
        <v>359</v>
      </c>
      <c r="E242" s="3">
        <v>0</v>
      </c>
      <c r="F242" s="3">
        <v>0</v>
      </c>
      <c r="G242" s="54">
        <f t="shared" si="44"/>
        <v>0</v>
      </c>
      <c r="H242" s="62">
        <f t="shared" si="49"/>
        <v>0</v>
      </c>
      <c r="I242" s="3">
        <f t="shared" si="47"/>
        <v>0</v>
      </c>
      <c r="J242" s="18">
        <f t="shared" si="48"/>
        <v>0</v>
      </c>
    </row>
    <row r="243" spans="2:10" x14ac:dyDescent="0.35">
      <c r="B243" s="32" t="s">
        <v>2544</v>
      </c>
      <c r="C243" s="5" t="s">
        <v>360</v>
      </c>
      <c r="D243" s="5" t="s">
        <v>238</v>
      </c>
      <c r="E243" s="3">
        <v>0</v>
      </c>
      <c r="F243" s="3">
        <v>0</v>
      </c>
      <c r="G243" s="54">
        <f t="shared" si="44"/>
        <v>0</v>
      </c>
      <c r="H243" s="62">
        <f t="shared" si="49"/>
        <v>0</v>
      </c>
      <c r="I243" s="3">
        <f t="shared" si="47"/>
        <v>0</v>
      </c>
      <c r="J243" s="18">
        <f t="shared" si="48"/>
        <v>0</v>
      </c>
    </row>
    <row r="244" spans="2:10" x14ac:dyDescent="0.35">
      <c r="B244" s="32" t="s">
        <v>2544</v>
      </c>
      <c r="C244" s="5" t="s">
        <v>361</v>
      </c>
      <c r="D244" s="5" t="s">
        <v>240</v>
      </c>
      <c r="E244" s="3">
        <v>0</v>
      </c>
      <c r="F244" s="3">
        <v>0</v>
      </c>
      <c r="G244" s="54">
        <f t="shared" si="44"/>
        <v>0</v>
      </c>
      <c r="H244" s="62">
        <f t="shared" si="49"/>
        <v>0</v>
      </c>
      <c r="I244" s="3">
        <f t="shared" si="47"/>
        <v>0</v>
      </c>
      <c r="J244" s="18">
        <f t="shared" si="48"/>
        <v>0</v>
      </c>
    </row>
    <row r="245" spans="2:10" x14ac:dyDescent="0.35">
      <c r="B245" s="32" t="s">
        <v>2544</v>
      </c>
      <c r="C245" s="5" t="s">
        <v>362</v>
      </c>
      <c r="D245" s="5" t="s">
        <v>244</v>
      </c>
      <c r="E245" s="3">
        <v>0</v>
      </c>
      <c r="F245" s="3">
        <v>0</v>
      </c>
      <c r="G245" s="54">
        <f t="shared" si="44"/>
        <v>0</v>
      </c>
      <c r="H245" s="62">
        <f t="shared" si="49"/>
        <v>0</v>
      </c>
      <c r="I245" s="3">
        <f t="shared" si="47"/>
        <v>0</v>
      </c>
      <c r="J245" s="18">
        <f t="shared" si="48"/>
        <v>0</v>
      </c>
    </row>
    <row r="246" spans="2:10" x14ac:dyDescent="0.35">
      <c r="B246" s="32" t="s">
        <v>2544</v>
      </c>
      <c r="C246" s="5" t="s">
        <v>363</v>
      </c>
      <c r="D246" s="5" t="s">
        <v>248</v>
      </c>
      <c r="E246" s="3">
        <v>50000</v>
      </c>
      <c r="F246" s="3">
        <v>114833.95</v>
      </c>
      <c r="G246" s="54">
        <f t="shared" si="44"/>
        <v>196858.19999999998</v>
      </c>
      <c r="H246" s="62">
        <f t="shared" si="49"/>
        <v>208669.69199999998</v>
      </c>
      <c r="I246" s="3">
        <f t="shared" si="47"/>
        <v>220146.52505999996</v>
      </c>
      <c r="J246" s="18">
        <f t="shared" si="48"/>
        <v>231814.29088817994</v>
      </c>
    </row>
    <row r="247" spans="2:10" x14ac:dyDescent="0.35">
      <c r="B247" s="32" t="s">
        <v>2544</v>
      </c>
      <c r="C247" s="5" t="s">
        <v>364</v>
      </c>
      <c r="D247" s="5" t="s">
        <v>250</v>
      </c>
      <c r="E247" s="3">
        <v>0</v>
      </c>
      <c r="F247" s="3">
        <v>0</v>
      </c>
      <c r="G247" s="54">
        <f t="shared" si="44"/>
        <v>0</v>
      </c>
      <c r="H247" s="62">
        <f t="shared" si="49"/>
        <v>0</v>
      </c>
      <c r="I247" s="3">
        <f t="shared" si="47"/>
        <v>0</v>
      </c>
      <c r="J247" s="18">
        <f t="shared" si="48"/>
        <v>0</v>
      </c>
    </row>
    <row r="248" spans="2:10" x14ac:dyDescent="0.35">
      <c r="B248" s="32" t="s">
        <v>2544</v>
      </c>
      <c r="C248" s="5" t="s">
        <v>365</v>
      </c>
      <c r="D248" s="5" t="s">
        <v>120</v>
      </c>
      <c r="E248" s="3">
        <v>0</v>
      </c>
      <c r="F248" s="3">
        <v>0</v>
      </c>
      <c r="G248" s="54">
        <f t="shared" si="44"/>
        <v>0</v>
      </c>
      <c r="H248" s="62">
        <f t="shared" si="49"/>
        <v>0</v>
      </c>
      <c r="I248" s="3">
        <f t="shared" si="47"/>
        <v>0</v>
      </c>
      <c r="J248" s="18">
        <f t="shared" si="48"/>
        <v>0</v>
      </c>
    </row>
    <row r="249" spans="2:10" x14ac:dyDescent="0.35">
      <c r="B249" s="32" t="s">
        <v>2544</v>
      </c>
      <c r="C249" s="5" t="s">
        <v>366</v>
      </c>
      <c r="D249" s="5" t="s">
        <v>122</v>
      </c>
      <c r="E249" s="3">
        <v>-592199</v>
      </c>
      <c r="F249" s="3">
        <v>0</v>
      </c>
      <c r="G249" s="54">
        <f t="shared" si="44"/>
        <v>0</v>
      </c>
      <c r="H249" s="62">
        <f t="shared" si="49"/>
        <v>0</v>
      </c>
      <c r="I249" s="3">
        <f t="shared" si="47"/>
        <v>0</v>
      </c>
      <c r="J249" s="18">
        <f t="shared" si="48"/>
        <v>0</v>
      </c>
    </row>
    <row r="250" spans="2:10" x14ac:dyDescent="0.35">
      <c r="B250" s="32" t="s">
        <v>2544</v>
      </c>
      <c r="C250" s="5" t="s">
        <v>367</v>
      </c>
      <c r="D250" s="5" t="s">
        <v>368</v>
      </c>
      <c r="E250" s="3">
        <v>100</v>
      </c>
      <c r="F250" s="3">
        <v>0</v>
      </c>
      <c r="G250" s="54">
        <f t="shared" si="44"/>
        <v>0</v>
      </c>
      <c r="H250" s="62">
        <f t="shared" si="49"/>
        <v>0</v>
      </c>
      <c r="I250" s="3">
        <f t="shared" si="47"/>
        <v>0</v>
      </c>
      <c r="J250" s="18">
        <f t="shared" si="48"/>
        <v>0</v>
      </c>
    </row>
    <row r="251" spans="2:10" x14ac:dyDescent="0.35">
      <c r="B251" s="32" t="s">
        <v>2544</v>
      </c>
      <c r="C251" s="5" t="s">
        <v>369</v>
      </c>
      <c r="D251" s="5" t="s">
        <v>124</v>
      </c>
      <c r="E251" s="3">
        <v>0</v>
      </c>
      <c r="F251" s="3">
        <v>0</v>
      </c>
      <c r="G251" s="54">
        <f t="shared" si="44"/>
        <v>0</v>
      </c>
      <c r="H251" s="62">
        <f t="shared" si="49"/>
        <v>0</v>
      </c>
      <c r="I251" s="3">
        <f t="shared" si="47"/>
        <v>0</v>
      </c>
      <c r="J251" s="18">
        <f t="shared" si="48"/>
        <v>0</v>
      </c>
    </row>
    <row r="252" spans="2:10" s="8" customFormat="1" x14ac:dyDescent="0.35">
      <c r="B252" s="33" t="s">
        <v>2546</v>
      </c>
      <c r="C252" s="5"/>
      <c r="D252" s="5"/>
      <c r="E252" s="10">
        <f>SUM(E213:E251)</f>
        <v>4761425</v>
      </c>
      <c r="F252" s="10">
        <f t="shared" ref="F252:G252" si="50">SUM(F213:F251)</f>
        <v>2667171.77</v>
      </c>
      <c r="G252" s="59">
        <f t="shared" si="50"/>
        <v>4572294.4628571421</v>
      </c>
      <c r="H252" s="63">
        <f t="shared" ref="H252:J252" si="51">SUM(H213:H251)</f>
        <v>4838650.5356228584</v>
      </c>
      <c r="I252" s="10">
        <f t="shared" si="51"/>
        <v>5104776.3150821151</v>
      </c>
      <c r="J252" s="22">
        <f t="shared" si="51"/>
        <v>5375329.4597814661</v>
      </c>
    </row>
    <row r="253" spans="2:10" s="8" customFormat="1" ht="10.5" customHeight="1" x14ac:dyDescent="0.35">
      <c r="B253" s="23"/>
      <c r="E253" s="9"/>
      <c r="F253" s="9"/>
      <c r="G253" s="9"/>
      <c r="H253" s="64"/>
      <c r="I253" s="9"/>
      <c r="J253" s="21"/>
    </row>
    <row r="254" spans="2:10" s="8" customFormat="1" ht="15" thickBot="1" x14ac:dyDescent="0.4">
      <c r="B254" s="35" t="s">
        <v>2548</v>
      </c>
      <c r="C254" s="25"/>
      <c r="D254" s="25"/>
      <c r="E254" s="26">
        <f>+E211+E252</f>
        <v>4760425</v>
      </c>
      <c r="F254" s="26">
        <f t="shared" ref="F254:G254" si="52">+F211+F252</f>
        <v>2667171.77</v>
      </c>
      <c r="G254" s="60">
        <f t="shared" si="52"/>
        <v>4572294.4628571421</v>
      </c>
      <c r="H254" s="65">
        <f t="shared" ref="H254:J254" si="53">+H211+H252</f>
        <v>4838650.5356228584</v>
      </c>
      <c r="I254" s="26">
        <f t="shared" si="53"/>
        <v>5104776.3150821151</v>
      </c>
      <c r="J254" s="27">
        <f t="shared" si="53"/>
        <v>5375329.4597814661</v>
      </c>
    </row>
    <row r="255" spans="2:10" s="8" customFormat="1" x14ac:dyDescent="0.35">
      <c r="E255" s="9"/>
      <c r="F255" s="9"/>
      <c r="G255" s="9"/>
      <c r="H255" s="9"/>
      <c r="I255" s="9"/>
      <c r="J255" s="9"/>
    </row>
    <row r="256" spans="2:10" s="8" customFormat="1" x14ac:dyDescent="0.35">
      <c r="E256" s="9"/>
      <c r="F256" s="9"/>
      <c r="G256" s="9"/>
      <c r="H256" s="9"/>
      <c r="I256" s="9"/>
      <c r="J256" s="9"/>
    </row>
    <row r="257" spans="1:10" s="8" customFormat="1" ht="15" thickBot="1" x14ac:dyDescent="0.4">
      <c r="A257" s="12" t="s">
        <v>2589</v>
      </c>
      <c r="B257" s="67" t="s">
        <v>2553</v>
      </c>
      <c r="E257" s="9"/>
      <c r="F257" s="9"/>
      <c r="G257" s="9"/>
      <c r="H257" s="9"/>
      <c r="I257" s="9"/>
      <c r="J257" s="9"/>
    </row>
    <row r="258" spans="1:10" x14ac:dyDescent="0.35">
      <c r="B258" s="31" t="s">
        <v>2543</v>
      </c>
      <c r="C258" s="14" t="s">
        <v>383</v>
      </c>
      <c r="D258" s="14" t="s">
        <v>384</v>
      </c>
      <c r="E258" s="15">
        <v>-3800</v>
      </c>
      <c r="F258" s="15">
        <f>124-2604.95</f>
        <v>-2480.9499999999998</v>
      </c>
      <c r="G258" s="58">
        <f t="shared" ref="G258:G315" si="54">+F258/7*12</f>
        <v>-4253.057142857142</v>
      </c>
      <c r="H258" s="61">
        <v>-5000</v>
      </c>
      <c r="I258" s="15">
        <f>+H258*1.055</f>
        <v>-5275</v>
      </c>
      <c r="J258" s="16">
        <f>+I258*1.053</f>
        <v>-5554.5749999999998</v>
      </c>
    </row>
    <row r="259" spans="1:10" x14ac:dyDescent="0.35">
      <c r="B259" s="32" t="s">
        <v>2543</v>
      </c>
      <c r="C259" s="5" t="s">
        <v>385</v>
      </c>
      <c r="D259" s="5" t="s">
        <v>126</v>
      </c>
      <c r="E259" s="3">
        <v>0</v>
      </c>
      <c r="F259" s="3">
        <v>0</v>
      </c>
      <c r="G259" s="54">
        <f t="shared" si="54"/>
        <v>0</v>
      </c>
      <c r="H259" s="62">
        <f t="shared" ref="H259:H265" si="55">+G259*1.06</f>
        <v>0</v>
      </c>
      <c r="I259" s="3">
        <f t="shared" ref="I259:I265" si="56">+H259*1.055</f>
        <v>0</v>
      </c>
      <c r="J259" s="18">
        <f t="shared" ref="J259:J265" si="57">+I259*1.053</f>
        <v>0</v>
      </c>
    </row>
    <row r="260" spans="1:10" x14ac:dyDescent="0.35">
      <c r="B260" s="32" t="s">
        <v>2543</v>
      </c>
      <c r="C260" s="5" t="s">
        <v>386</v>
      </c>
      <c r="D260" s="5" t="s">
        <v>387</v>
      </c>
      <c r="E260" s="3">
        <v>-2300</v>
      </c>
      <c r="F260" s="3">
        <v>-673</v>
      </c>
      <c r="G260" s="54">
        <f t="shared" si="54"/>
        <v>-1153.7142857142858</v>
      </c>
      <c r="H260" s="62">
        <v>-1200</v>
      </c>
      <c r="I260" s="3">
        <f t="shared" si="56"/>
        <v>-1266</v>
      </c>
      <c r="J260" s="18">
        <f t="shared" si="57"/>
        <v>-1333.098</v>
      </c>
    </row>
    <row r="261" spans="1:10" x14ac:dyDescent="0.35">
      <c r="B261" s="32" t="s">
        <v>2543</v>
      </c>
      <c r="C261" s="5" t="s">
        <v>388</v>
      </c>
      <c r="D261" s="5" t="s">
        <v>389</v>
      </c>
      <c r="E261" s="3">
        <v>-714149</v>
      </c>
      <c r="F261" s="3">
        <v>0</v>
      </c>
      <c r="G261" s="54">
        <f t="shared" si="54"/>
        <v>0</v>
      </c>
      <c r="H261" s="62">
        <f t="shared" si="55"/>
        <v>0</v>
      </c>
      <c r="I261" s="3">
        <f t="shared" si="56"/>
        <v>0</v>
      </c>
      <c r="J261" s="18">
        <f t="shared" si="57"/>
        <v>0</v>
      </c>
    </row>
    <row r="262" spans="1:10" x14ac:dyDescent="0.35">
      <c r="B262" s="32" t="s">
        <v>2543</v>
      </c>
      <c r="C262" s="5" t="s">
        <v>390</v>
      </c>
      <c r="D262" s="5" t="s">
        <v>391</v>
      </c>
      <c r="E262" s="3">
        <v>-757</v>
      </c>
      <c r="F262" s="3">
        <v>-204.75</v>
      </c>
      <c r="G262" s="54">
        <f t="shared" si="54"/>
        <v>-351</v>
      </c>
      <c r="H262" s="62">
        <v>-400</v>
      </c>
      <c r="I262" s="3">
        <f t="shared" si="56"/>
        <v>-422</v>
      </c>
      <c r="J262" s="18">
        <f t="shared" si="57"/>
        <v>-444.36599999999999</v>
      </c>
    </row>
    <row r="263" spans="1:10" x14ac:dyDescent="0.35">
      <c r="B263" s="32"/>
      <c r="C263" s="5"/>
      <c r="D263" s="5" t="s">
        <v>2656</v>
      </c>
      <c r="E263" s="3"/>
      <c r="F263" s="3"/>
      <c r="G263" s="54"/>
      <c r="H263" s="62"/>
      <c r="I263" s="3"/>
      <c r="J263" s="18"/>
    </row>
    <row r="264" spans="1:10" x14ac:dyDescent="0.35">
      <c r="B264" s="32" t="s">
        <v>2543</v>
      </c>
      <c r="C264" s="5" t="s">
        <v>392</v>
      </c>
      <c r="D264" s="5" t="s">
        <v>30</v>
      </c>
      <c r="E264" s="3">
        <v>0</v>
      </c>
      <c r="F264" s="3">
        <v>0</v>
      </c>
      <c r="G264" s="54">
        <f t="shared" si="54"/>
        <v>0</v>
      </c>
      <c r="H264" s="62">
        <f t="shared" si="55"/>
        <v>0</v>
      </c>
      <c r="I264" s="3">
        <f t="shared" si="56"/>
        <v>0</v>
      </c>
      <c r="J264" s="18">
        <f t="shared" si="57"/>
        <v>0</v>
      </c>
    </row>
    <row r="265" spans="1:10" x14ac:dyDescent="0.35">
      <c r="B265" s="32" t="s">
        <v>2543</v>
      </c>
      <c r="C265" s="5" t="s">
        <v>393</v>
      </c>
      <c r="D265" s="5" t="s">
        <v>32</v>
      </c>
      <c r="E265" s="3">
        <v>0</v>
      </c>
      <c r="F265" s="3">
        <v>0</v>
      </c>
      <c r="G265" s="54">
        <f t="shared" si="54"/>
        <v>0</v>
      </c>
      <c r="H265" s="62">
        <f t="shared" si="55"/>
        <v>0</v>
      </c>
      <c r="I265" s="3">
        <f t="shared" si="56"/>
        <v>0</v>
      </c>
      <c r="J265" s="18">
        <f t="shared" si="57"/>
        <v>0</v>
      </c>
    </row>
    <row r="266" spans="1:10" s="8" customFormat="1" x14ac:dyDescent="0.35">
      <c r="B266" s="33" t="s">
        <v>2545</v>
      </c>
      <c r="C266" s="5"/>
      <c r="D266" s="5"/>
      <c r="E266" s="10">
        <f>SUM(E258:E265)</f>
        <v>-721006</v>
      </c>
      <c r="F266" s="10">
        <f t="shared" ref="F266:G266" si="58">SUM(F258:F265)</f>
        <v>-3358.7</v>
      </c>
      <c r="G266" s="59">
        <f t="shared" si="58"/>
        <v>-5757.7714285714283</v>
      </c>
      <c r="H266" s="63">
        <f t="shared" ref="H266:J266" si="59">SUM(H258:H265)</f>
        <v>-6600</v>
      </c>
      <c r="I266" s="10">
        <f t="shared" si="59"/>
        <v>-6963</v>
      </c>
      <c r="J266" s="22">
        <f t="shared" si="59"/>
        <v>-7332.0389999999998</v>
      </c>
    </row>
    <row r="267" spans="1:10" s="8" customFormat="1" x14ac:dyDescent="0.35">
      <c r="B267" s="23"/>
      <c r="E267" s="9"/>
      <c r="F267" s="9"/>
      <c r="G267" s="9"/>
      <c r="H267" s="64"/>
      <c r="I267" s="9"/>
      <c r="J267" s="21"/>
    </row>
    <row r="268" spans="1:10" x14ac:dyDescent="0.35">
      <c r="B268" s="32" t="s">
        <v>2544</v>
      </c>
      <c r="C268" s="5" t="s">
        <v>394</v>
      </c>
      <c r="D268" s="5" t="s">
        <v>34</v>
      </c>
      <c r="E268" s="3">
        <v>518125</v>
      </c>
      <c r="F268" s="3">
        <v>0</v>
      </c>
      <c r="G268" s="54">
        <f t="shared" si="54"/>
        <v>0</v>
      </c>
      <c r="H268" s="62">
        <f>+G268*1.058</f>
        <v>0</v>
      </c>
      <c r="I268" s="3">
        <f>+H268*1.055</f>
        <v>0</v>
      </c>
      <c r="J268" s="18">
        <f>+I268*1.053</f>
        <v>0</v>
      </c>
    </row>
    <row r="269" spans="1:10" x14ac:dyDescent="0.35">
      <c r="B269" s="32" t="s">
        <v>2544</v>
      </c>
      <c r="C269" s="5" t="s">
        <v>395</v>
      </c>
      <c r="D269" s="5" t="s">
        <v>36</v>
      </c>
      <c r="E269" s="3">
        <v>43177</v>
      </c>
      <c r="F269" s="3">
        <v>0</v>
      </c>
      <c r="G269" s="54">
        <f t="shared" si="54"/>
        <v>0</v>
      </c>
      <c r="H269" s="62">
        <f t="shared" ref="H269:H277" si="60">+G269*1.058</f>
        <v>0</v>
      </c>
      <c r="I269" s="3">
        <f t="shared" ref="I269:I292" si="61">+H269*1.055</f>
        <v>0</v>
      </c>
      <c r="J269" s="18">
        <f t="shared" ref="J269:J292" si="62">+I269*1.053</f>
        <v>0</v>
      </c>
    </row>
    <row r="270" spans="1:10" x14ac:dyDescent="0.35">
      <c r="B270" s="32" t="s">
        <v>2544</v>
      </c>
      <c r="C270" s="5" t="s">
        <v>396</v>
      </c>
      <c r="D270" s="5" t="s">
        <v>38</v>
      </c>
      <c r="E270" s="3">
        <v>0</v>
      </c>
      <c r="F270" s="3">
        <v>0</v>
      </c>
      <c r="G270" s="54">
        <f t="shared" si="54"/>
        <v>0</v>
      </c>
      <c r="H270" s="62">
        <f t="shared" si="60"/>
        <v>0</v>
      </c>
      <c r="I270" s="3">
        <f t="shared" si="61"/>
        <v>0</v>
      </c>
      <c r="J270" s="18">
        <f t="shared" si="62"/>
        <v>0</v>
      </c>
    </row>
    <row r="271" spans="1:10" x14ac:dyDescent="0.35">
      <c r="B271" s="32" t="s">
        <v>2544</v>
      </c>
      <c r="C271" s="5" t="s">
        <v>397</v>
      </c>
      <c r="D271" s="5" t="s">
        <v>42</v>
      </c>
      <c r="E271" s="3">
        <v>70226</v>
      </c>
      <c r="F271" s="3">
        <v>33963.69</v>
      </c>
      <c r="G271" s="54">
        <f t="shared" si="54"/>
        <v>58223.468571428573</v>
      </c>
      <c r="H271" s="62">
        <f t="shared" si="60"/>
        <v>61600.429748571434</v>
      </c>
      <c r="I271" s="3">
        <f t="shared" si="61"/>
        <v>64988.453384742861</v>
      </c>
      <c r="J271" s="18">
        <f t="shared" si="62"/>
        <v>68432.841414134222</v>
      </c>
    </row>
    <row r="272" spans="1:10" x14ac:dyDescent="0.35">
      <c r="B272" s="32" t="s">
        <v>2544</v>
      </c>
      <c r="C272" s="5" t="s">
        <v>398</v>
      </c>
      <c r="D272" s="5" t="s">
        <v>44</v>
      </c>
      <c r="E272" s="3">
        <v>5181</v>
      </c>
      <c r="F272" s="3">
        <v>0</v>
      </c>
      <c r="G272" s="54">
        <f t="shared" si="54"/>
        <v>0</v>
      </c>
      <c r="H272" s="62">
        <f t="shared" si="60"/>
        <v>0</v>
      </c>
      <c r="I272" s="3">
        <f t="shared" si="61"/>
        <v>0</v>
      </c>
      <c r="J272" s="18">
        <f t="shared" si="62"/>
        <v>0</v>
      </c>
    </row>
    <row r="273" spans="2:10" x14ac:dyDescent="0.35">
      <c r="B273" s="32" t="s">
        <v>2544</v>
      </c>
      <c r="C273" s="5" t="s">
        <v>399</v>
      </c>
      <c r="D273" s="5" t="s">
        <v>46</v>
      </c>
      <c r="E273" s="3">
        <v>5181</v>
      </c>
      <c r="F273" s="3">
        <v>0</v>
      </c>
      <c r="G273" s="54">
        <f t="shared" si="54"/>
        <v>0</v>
      </c>
      <c r="H273" s="62">
        <f t="shared" si="60"/>
        <v>0</v>
      </c>
      <c r="I273" s="3">
        <f t="shared" si="61"/>
        <v>0</v>
      </c>
      <c r="J273" s="18">
        <f t="shared" si="62"/>
        <v>0</v>
      </c>
    </row>
    <row r="274" spans="2:10" x14ac:dyDescent="0.35">
      <c r="B274" s="32" t="s">
        <v>2544</v>
      </c>
      <c r="C274" s="5" t="s">
        <v>400</v>
      </c>
      <c r="D274" s="5" t="s">
        <v>48</v>
      </c>
      <c r="E274" s="3">
        <v>61092</v>
      </c>
      <c r="F274" s="3">
        <v>0</v>
      </c>
      <c r="G274" s="54">
        <f t="shared" si="54"/>
        <v>0</v>
      </c>
      <c r="H274" s="62">
        <f t="shared" si="60"/>
        <v>0</v>
      </c>
      <c r="I274" s="3">
        <f t="shared" si="61"/>
        <v>0</v>
      </c>
      <c r="J274" s="18">
        <f t="shared" si="62"/>
        <v>0</v>
      </c>
    </row>
    <row r="275" spans="2:10" x14ac:dyDescent="0.35">
      <c r="B275" s="32" t="s">
        <v>2544</v>
      </c>
      <c r="C275" s="5" t="s">
        <v>401</v>
      </c>
      <c r="D275" s="5" t="s">
        <v>50</v>
      </c>
      <c r="E275" s="3">
        <v>5181</v>
      </c>
      <c r="F275" s="3">
        <v>0</v>
      </c>
      <c r="G275" s="54">
        <f t="shared" si="54"/>
        <v>0</v>
      </c>
      <c r="H275" s="62">
        <f t="shared" si="60"/>
        <v>0</v>
      </c>
      <c r="I275" s="3">
        <f t="shared" si="61"/>
        <v>0</v>
      </c>
      <c r="J275" s="18">
        <f t="shared" si="62"/>
        <v>0</v>
      </c>
    </row>
    <row r="276" spans="2:10" x14ac:dyDescent="0.35">
      <c r="B276" s="32" t="s">
        <v>2544</v>
      </c>
      <c r="C276" s="5" t="s">
        <v>402</v>
      </c>
      <c r="D276" s="5" t="s">
        <v>331</v>
      </c>
      <c r="E276" s="3">
        <v>2122</v>
      </c>
      <c r="F276" s="3">
        <v>0</v>
      </c>
      <c r="G276" s="54">
        <f t="shared" si="54"/>
        <v>0</v>
      </c>
      <c r="H276" s="62">
        <f t="shared" si="60"/>
        <v>0</v>
      </c>
      <c r="I276" s="3">
        <f t="shared" si="61"/>
        <v>0</v>
      </c>
      <c r="J276" s="18">
        <f t="shared" si="62"/>
        <v>0</v>
      </c>
    </row>
    <row r="277" spans="2:10" x14ac:dyDescent="0.35">
      <c r="B277" s="32" t="s">
        <v>2544</v>
      </c>
      <c r="C277" s="5" t="s">
        <v>403</v>
      </c>
      <c r="D277" s="5" t="s">
        <v>52</v>
      </c>
      <c r="E277" s="3">
        <v>0</v>
      </c>
      <c r="F277" s="3">
        <v>0</v>
      </c>
      <c r="G277" s="54">
        <f t="shared" si="54"/>
        <v>0</v>
      </c>
      <c r="H277" s="62">
        <f t="shared" si="60"/>
        <v>0</v>
      </c>
      <c r="I277" s="3">
        <f t="shared" si="61"/>
        <v>0</v>
      </c>
      <c r="J277" s="18">
        <f t="shared" si="62"/>
        <v>0</v>
      </c>
    </row>
    <row r="278" spans="2:10" x14ac:dyDescent="0.35">
      <c r="B278" s="32" t="s">
        <v>2544</v>
      </c>
      <c r="C278" s="5" t="s">
        <v>404</v>
      </c>
      <c r="D278" s="5" t="s">
        <v>64</v>
      </c>
      <c r="E278" s="3">
        <v>0</v>
      </c>
      <c r="F278" s="3">
        <v>0</v>
      </c>
      <c r="G278" s="54">
        <f t="shared" si="54"/>
        <v>0</v>
      </c>
      <c r="H278" s="62">
        <f>+G278*1.06</f>
        <v>0</v>
      </c>
      <c r="I278" s="3">
        <f t="shared" si="61"/>
        <v>0</v>
      </c>
      <c r="J278" s="18">
        <f t="shared" si="62"/>
        <v>0</v>
      </c>
    </row>
    <row r="279" spans="2:10" x14ac:dyDescent="0.35">
      <c r="B279" s="32" t="s">
        <v>2544</v>
      </c>
      <c r="C279" s="5" t="s">
        <v>405</v>
      </c>
      <c r="D279" s="5" t="s">
        <v>66</v>
      </c>
      <c r="E279" s="3">
        <v>0</v>
      </c>
      <c r="F279" s="3">
        <v>0</v>
      </c>
      <c r="G279" s="54">
        <f t="shared" si="54"/>
        <v>0</v>
      </c>
      <c r="H279" s="62">
        <f t="shared" ref="H279:H292" si="63">+G279*1.06</f>
        <v>0</v>
      </c>
      <c r="I279" s="3">
        <f t="shared" si="61"/>
        <v>0</v>
      </c>
      <c r="J279" s="18">
        <f t="shared" si="62"/>
        <v>0</v>
      </c>
    </row>
    <row r="280" spans="2:10" x14ac:dyDescent="0.35">
      <c r="B280" s="32" t="s">
        <v>2544</v>
      </c>
      <c r="C280" s="5" t="s">
        <v>406</v>
      </c>
      <c r="D280" s="5" t="s">
        <v>68</v>
      </c>
      <c r="E280" s="3">
        <v>0</v>
      </c>
      <c r="F280" s="3">
        <v>0</v>
      </c>
      <c r="G280" s="54">
        <f t="shared" si="54"/>
        <v>0</v>
      </c>
      <c r="H280" s="62">
        <f t="shared" si="63"/>
        <v>0</v>
      </c>
      <c r="I280" s="3">
        <f t="shared" si="61"/>
        <v>0</v>
      </c>
      <c r="J280" s="18">
        <f t="shared" si="62"/>
        <v>0</v>
      </c>
    </row>
    <row r="281" spans="2:10" x14ac:dyDescent="0.35">
      <c r="B281" s="32" t="s">
        <v>2544</v>
      </c>
      <c r="C281" s="5" t="s">
        <v>407</v>
      </c>
      <c r="D281" s="5" t="s">
        <v>74</v>
      </c>
      <c r="E281" s="3">
        <v>0</v>
      </c>
      <c r="F281" s="3">
        <f>1183.59-145.35</f>
        <v>1038.24</v>
      </c>
      <c r="G281" s="54">
        <f t="shared" si="54"/>
        <v>1779.84</v>
      </c>
      <c r="H281" s="62">
        <v>0</v>
      </c>
      <c r="I281" s="3">
        <f t="shared" si="61"/>
        <v>0</v>
      </c>
      <c r="J281" s="18">
        <f t="shared" si="62"/>
        <v>0</v>
      </c>
    </row>
    <row r="282" spans="2:10" x14ac:dyDescent="0.35">
      <c r="B282" s="32" t="s">
        <v>2544</v>
      </c>
      <c r="C282" s="5" t="s">
        <v>408</v>
      </c>
      <c r="D282" s="5" t="s">
        <v>90</v>
      </c>
      <c r="E282" s="3">
        <v>6000</v>
      </c>
      <c r="F282" s="3">
        <v>6000</v>
      </c>
      <c r="G282" s="54">
        <f t="shared" si="54"/>
        <v>10285.714285714286</v>
      </c>
      <c r="H282" s="62">
        <f t="shared" si="63"/>
        <v>10902.857142857143</v>
      </c>
      <c r="I282" s="3">
        <f t="shared" si="61"/>
        <v>11502.514285714286</v>
      </c>
      <c r="J282" s="18">
        <f t="shared" si="62"/>
        <v>12112.147542857141</v>
      </c>
    </row>
    <row r="283" spans="2:10" x14ac:dyDescent="0.35">
      <c r="B283" s="32" t="s">
        <v>2544</v>
      </c>
      <c r="C283" s="5" t="s">
        <v>409</v>
      </c>
      <c r="D283" s="5" t="s">
        <v>94</v>
      </c>
      <c r="E283" s="3">
        <v>0</v>
      </c>
      <c r="F283" s="3">
        <v>0</v>
      </c>
      <c r="G283" s="54">
        <f t="shared" si="54"/>
        <v>0</v>
      </c>
      <c r="H283" s="62">
        <f t="shared" si="63"/>
        <v>0</v>
      </c>
      <c r="I283" s="3">
        <f t="shared" si="61"/>
        <v>0</v>
      </c>
      <c r="J283" s="18">
        <f t="shared" si="62"/>
        <v>0</v>
      </c>
    </row>
    <row r="284" spans="2:10" x14ac:dyDescent="0.35">
      <c r="B284" s="32" t="s">
        <v>2544</v>
      </c>
      <c r="C284" s="5" t="s">
        <v>410</v>
      </c>
      <c r="D284" s="5" t="s">
        <v>411</v>
      </c>
      <c r="E284" s="3">
        <v>0</v>
      </c>
      <c r="F284" s="3">
        <v>0</v>
      </c>
      <c r="G284" s="54">
        <f t="shared" si="54"/>
        <v>0</v>
      </c>
      <c r="H284" s="62">
        <f t="shared" si="63"/>
        <v>0</v>
      </c>
      <c r="I284" s="3">
        <f t="shared" si="61"/>
        <v>0</v>
      </c>
      <c r="J284" s="18">
        <f t="shared" si="62"/>
        <v>0</v>
      </c>
    </row>
    <row r="285" spans="2:10" x14ac:dyDescent="0.35">
      <c r="B285" s="32" t="s">
        <v>2544</v>
      </c>
      <c r="C285" s="5" t="s">
        <v>412</v>
      </c>
      <c r="D285" s="5" t="s">
        <v>98</v>
      </c>
      <c r="E285" s="3">
        <v>1770</v>
      </c>
      <c r="F285" s="3">
        <v>0</v>
      </c>
      <c r="G285" s="54">
        <f t="shared" si="54"/>
        <v>0</v>
      </c>
      <c r="H285" s="62">
        <f t="shared" si="63"/>
        <v>0</v>
      </c>
      <c r="I285" s="3">
        <f t="shared" si="61"/>
        <v>0</v>
      </c>
      <c r="J285" s="18">
        <f t="shared" si="62"/>
        <v>0</v>
      </c>
    </row>
    <row r="286" spans="2:10" x14ac:dyDescent="0.35">
      <c r="B286" s="32" t="s">
        <v>2544</v>
      </c>
      <c r="C286" s="5" t="s">
        <v>413</v>
      </c>
      <c r="D286" s="5" t="s">
        <v>414</v>
      </c>
      <c r="E286" s="3">
        <v>0</v>
      </c>
      <c r="F286" s="3">
        <v>0</v>
      </c>
      <c r="G286" s="54">
        <f t="shared" si="54"/>
        <v>0</v>
      </c>
      <c r="H286" s="62">
        <f t="shared" si="63"/>
        <v>0</v>
      </c>
      <c r="I286" s="3">
        <f t="shared" si="61"/>
        <v>0</v>
      </c>
      <c r="J286" s="18">
        <f t="shared" si="62"/>
        <v>0</v>
      </c>
    </row>
    <row r="287" spans="2:10" x14ac:dyDescent="0.35">
      <c r="B287" s="32" t="s">
        <v>2544</v>
      </c>
      <c r="C287" s="5" t="s">
        <v>415</v>
      </c>
      <c r="D287" s="5" t="s">
        <v>248</v>
      </c>
      <c r="E287" s="3">
        <v>0</v>
      </c>
      <c r="F287" s="3">
        <v>0</v>
      </c>
      <c r="G287" s="54">
        <f t="shared" si="54"/>
        <v>0</v>
      </c>
      <c r="H287" s="62">
        <f t="shared" si="63"/>
        <v>0</v>
      </c>
      <c r="I287" s="3">
        <f t="shared" si="61"/>
        <v>0</v>
      </c>
      <c r="J287" s="18">
        <f t="shared" si="62"/>
        <v>0</v>
      </c>
    </row>
    <row r="288" spans="2:10" x14ac:dyDescent="0.35">
      <c r="B288" s="32" t="s">
        <v>2544</v>
      </c>
      <c r="C288" s="5" t="s">
        <v>416</v>
      </c>
      <c r="D288" s="5" t="s">
        <v>417</v>
      </c>
      <c r="E288" s="3">
        <v>1200</v>
      </c>
      <c r="F288" s="3">
        <v>0</v>
      </c>
      <c r="G288" s="54">
        <f t="shared" si="54"/>
        <v>0</v>
      </c>
      <c r="H288" s="62">
        <f t="shared" si="63"/>
        <v>0</v>
      </c>
      <c r="I288" s="3">
        <f t="shared" si="61"/>
        <v>0</v>
      </c>
      <c r="J288" s="18">
        <f t="shared" si="62"/>
        <v>0</v>
      </c>
    </row>
    <row r="289" spans="1:10" x14ac:dyDescent="0.35">
      <c r="B289" s="32" t="s">
        <v>2544</v>
      </c>
      <c r="C289" s="5" t="s">
        <v>418</v>
      </c>
      <c r="D289" s="5" t="s">
        <v>120</v>
      </c>
      <c r="E289" s="3">
        <v>0</v>
      </c>
      <c r="F289" s="3">
        <v>0</v>
      </c>
      <c r="G289" s="54">
        <f t="shared" si="54"/>
        <v>0</v>
      </c>
      <c r="H289" s="62">
        <f t="shared" si="63"/>
        <v>0</v>
      </c>
      <c r="I289" s="3">
        <f t="shared" si="61"/>
        <v>0</v>
      </c>
      <c r="J289" s="18">
        <f t="shared" si="62"/>
        <v>0</v>
      </c>
    </row>
    <row r="290" spans="1:10" x14ac:dyDescent="0.35">
      <c r="B290" s="32" t="s">
        <v>2544</v>
      </c>
      <c r="C290" s="5" t="s">
        <v>419</v>
      </c>
      <c r="D290" s="5" t="s">
        <v>420</v>
      </c>
      <c r="E290" s="3">
        <v>0</v>
      </c>
      <c r="F290" s="3">
        <v>0</v>
      </c>
      <c r="G290" s="54">
        <f t="shared" si="54"/>
        <v>0</v>
      </c>
      <c r="H290" s="62">
        <f t="shared" si="63"/>
        <v>0</v>
      </c>
      <c r="I290" s="3">
        <f t="shared" si="61"/>
        <v>0</v>
      </c>
      <c r="J290" s="18">
        <f t="shared" si="62"/>
        <v>0</v>
      </c>
    </row>
    <row r="291" spans="1:10" x14ac:dyDescent="0.35">
      <c r="B291" s="32" t="s">
        <v>2544</v>
      </c>
      <c r="C291" s="5" t="s">
        <v>421</v>
      </c>
      <c r="D291" s="5" t="s">
        <v>368</v>
      </c>
      <c r="E291" s="3">
        <v>1750</v>
      </c>
      <c r="F291" s="3">
        <v>11153.61</v>
      </c>
      <c r="G291" s="54">
        <f t="shared" si="54"/>
        <v>19120.474285714285</v>
      </c>
      <c r="H291" s="62">
        <f t="shared" si="63"/>
        <v>20267.702742857142</v>
      </c>
      <c r="I291" s="3">
        <f t="shared" si="61"/>
        <v>21382.426393714282</v>
      </c>
      <c r="J291" s="18">
        <f t="shared" si="62"/>
        <v>22515.694992581139</v>
      </c>
    </row>
    <row r="292" spans="1:10" x14ac:dyDescent="0.35">
      <c r="B292" s="32" t="s">
        <v>2544</v>
      </c>
      <c r="C292" s="5" t="s">
        <v>422</v>
      </c>
      <c r="D292" s="5" t="s">
        <v>124</v>
      </c>
      <c r="E292" s="3">
        <v>0</v>
      </c>
      <c r="F292" s="3">
        <v>0</v>
      </c>
      <c r="G292" s="54">
        <f t="shared" si="54"/>
        <v>0</v>
      </c>
      <c r="H292" s="62">
        <f t="shared" si="63"/>
        <v>0</v>
      </c>
      <c r="I292" s="3">
        <f t="shared" si="61"/>
        <v>0</v>
      </c>
      <c r="J292" s="18">
        <f t="shared" si="62"/>
        <v>0</v>
      </c>
    </row>
    <row r="293" spans="1:10" s="8" customFormat="1" x14ac:dyDescent="0.35">
      <c r="B293" s="33" t="s">
        <v>2546</v>
      </c>
      <c r="C293" s="5"/>
      <c r="D293" s="5"/>
      <c r="E293" s="10">
        <f>SUM(E268:E292)</f>
        <v>721005</v>
      </c>
      <c r="F293" s="10">
        <f t="shared" ref="F293:G293" si="64">SUM(F268:F292)</f>
        <v>52155.54</v>
      </c>
      <c r="G293" s="59">
        <f t="shared" si="64"/>
        <v>89409.497142857144</v>
      </c>
      <c r="H293" s="63">
        <f t="shared" ref="H293:J293" si="65">SUM(H268:H292)</f>
        <v>92770.989634285725</v>
      </c>
      <c r="I293" s="10">
        <f t="shared" si="65"/>
        <v>97873.394064171429</v>
      </c>
      <c r="J293" s="22">
        <f t="shared" si="65"/>
        <v>103060.6839495725</v>
      </c>
    </row>
    <row r="294" spans="1:10" s="8" customFormat="1" ht="9.75" customHeight="1" x14ac:dyDescent="0.35">
      <c r="B294" s="23"/>
      <c r="E294" s="39"/>
      <c r="F294" s="39"/>
      <c r="G294" s="39"/>
      <c r="H294" s="68"/>
      <c r="I294" s="39"/>
      <c r="J294" s="40"/>
    </row>
    <row r="295" spans="1:10" s="8" customFormat="1" ht="15" thickBot="1" x14ac:dyDescent="0.4">
      <c r="B295" s="35" t="s">
        <v>2548</v>
      </c>
      <c r="C295" s="25"/>
      <c r="D295" s="25"/>
      <c r="E295" s="26">
        <f>+E266+E293</f>
        <v>-1</v>
      </c>
      <c r="F295" s="26">
        <f t="shared" ref="F295:G295" si="66">+F266+F293</f>
        <v>48796.840000000004</v>
      </c>
      <c r="G295" s="60">
        <f t="shared" si="66"/>
        <v>83651.725714285712</v>
      </c>
      <c r="H295" s="65">
        <f t="shared" ref="H295:J295" si="67">+H266+H293</f>
        <v>86170.989634285725</v>
      </c>
      <c r="I295" s="26">
        <f t="shared" si="67"/>
        <v>90910.394064171429</v>
      </c>
      <c r="J295" s="27">
        <f t="shared" si="67"/>
        <v>95728.644949572496</v>
      </c>
    </row>
    <row r="296" spans="1:10" s="8" customFormat="1" x14ac:dyDescent="0.35">
      <c r="E296" s="9"/>
      <c r="F296" s="9"/>
      <c r="G296" s="9"/>
      <c r="H296" s="9"/>
      <c r="I296" s="9"/>
      <c r="J296" s="9"/>
    </row>
    <row r="297" spans="1:10" s="8" customFormat="1" x14ac:dyDescent="0.35">
      <c r="E297" s="9"/>
      <c r="F297" s="9"/>
      <c r="G297" s="9"/>
      <c r="H297" s="9"/>
      <c r="I297" s="9"/>
      <c r="J297" s="9"/>
    </row>
    <row r="298" spans="1:10" s="8" customFormat="1" ht="15" thickBot="1" x14ac:dyDescent="0.4">
      <c r="A298" s="12" t="s">
        <v>2589</v>
      </c>
      <c r="B298" s="28" t="s">
        <v>2554</v>
      </c>
      <c r="C298" s="12" t="s">
        <v>2594</v>
      </c>
      <c r="E298" s="9"/>
      <c r="F298" s="9"/>
      <c r="G298" s="9"/>
      <c r="H298" s="9"/>
      <c r="I298" s="9"/>
      <c r="J298" s="9"/>
    </row>
    <row r="299" spans="1:10" x14ac:dyDescent="0.35">
      <c r="B299" s="31" t="s">
        <v>2543</v>
      </c>
      <c r="C299" s="14" t="s">
        <v>423</v>
      </c>
      <c r="D299" s="14" t="s">
        <v>424</v>
      </c>
      <c r="E299" s="15">
        <v>-275000</v>
      </c>
      <c r="F299" s="15">
        <f>2458.33-218628.08</f>
        <v>-216169.75</v>
      </c>
      <c r="G299" s="58">
        <f t="shared" si="54"/>
        <v>-370576.71428571432</v>
      </c>
      <c r="H299" s="61">
        <f>+G299*1.06</f>
        <v>-392811.31714285718</v>
      </c>
      <c r="I299" s="15">
        <f>+H299*1.055</f>
        <v>-414415.93958571431</v>
      </c>
      <c r="J299" s="16">
        <f>+I299*1.053</f>
        <v>-436379.98438375717</v>
      </c>
    </row>
    <row r="300" spans="1:10" x14ac:dyDescent="0.35">
      <c r="B300" s="32" t="s">
        <v>2543</v>
      </c>
      <c r="C300" s="5" t="s">
        <v>425</v>
      </c>
      <c r="D300" s="5" t="s">
        <v>126</v>
      </c>
      <c r="E300" s="3">
        <v>0</v>
      </c>
      <c r="F300" s="3">
        <v>0</v>
      </c>
      <c r="G300" s="54">
        <f t="shared" si="54"/>
        <v>0</v>
      </c>
      <c r="H300" s="62">
        <f t="shared" ref="H300:H302" si="68">+G300*1.06</f>
        <v>0</v>
      </c>
      <c r="I300" s="3">
        <f t="shared" ref="I300:I302" si="69">+H300*1.055</f>
        <v>0</v>
      </c>
      <c r="J300" s="18">
        <f t="shared" ref="J300:J302" si="70">+I300*1.053</f>
        <v>0</v>
      </c>
    </row>
    <row r="301" spans="1:10" x14ac:dyDescent="0.35">
      <c r="B301" s="32" t="s">
        <v>2543</v>
      </c>
      <c r="C301" s="5" t="s">
        <v>426</v>
      </c>
      <c r="D301" s="5" t="s">
        <v>30</v>
      </c>
      <c r="E301" s="3">
        <v>0</v>
      </c>
      <c r="F301" s="3">
        <v>0</v>
      </c>
      <c r="G301" s="54">
        <f t="shared" si="54"/>
        <v>0</v>
      </c>
      <c r="H301" s="62">
        <f t="shared" si="68"/>
        <v>0</v>
      </c>
      <c r="I301" s="3">
        <f t="shared" si="69"/>
        <v>0</v>
      </c>
      <c r="J301" s="18">
        <f t="shared" si="70"/>
        <v>0</v>
      </c>
    </row>
    <row r="302" spans="1:10" x14ac:dyDescent="0.35">
      <c r="B302" s="32" t="s">
        <v>2543</v>
      </c>
      <c r="C302" s="5" t="s">
        <v>427</v>
      </c>
      <c r="D302" s="5" t="s">
        <v>32</v>
      </c>
      <c r="E302" s="3">
        <v>0</v>
      </c>
      <c r="F302" s="3">
        <v>0</v>
      </c>
      <c r="G302" s="54">
        <f t="shared" si="54"/>
        <v>0</v>
      </c>
      <c r="H302" s="62">
        <f t="shared" si="68"/>
        <v>0</v>
      </c>
      <c r="I302" s="3">
        <f t="shared" si="69"/>
        <v>0</v>
      </c>
      <c r="J302" s="18">
        <f t="shared" si="70"/>
        <v>0</v>
      </c>
    </row>
    <row r="303" spans="1:10" s="8" customFormat="1" x14ac:dyDescent="0.35">
      <c r="B303" s="33" t="s">
        <v>2545</v>
      </c>
      <c r="C303" s="5"/>
      <c r="D303" s="5"/>
      <c r="E303" s="10">
        <f>SUM(E299:E302)</f>
        <v>-275000</v>
      </c>
      <c r="F303" s="10">
        <f t="shared" ref="F303:G303" si="71">SUM(F299:F302)</f>
        <v>-216169.75</v>
      </c>
      <c r="G303" s="59">
        <f t="shared" si="71"/>
        <v>-370576.71428571432</v>
      </c>
      <c r="H303" s="63">
        <f t="shared" ref="H303:J303" si="72">SUM(H299:H302)</f>
        <v>-392811.31714285718</v>
      </c>
      <c r="I303" s="10">
        <f t="shared" si="72"/>
        <v>-414415.93958571431</v>
      </c>
      <c r="J303" s="22">
        <f t="shared" si="72"/>
        <v>-436379.98438375717</v>
      </c>
    </row>
    <row r="304" spans="1:10" s="8" customFormat="1" x14ac:dyDescent="0.35">
      <c r="B304" s="23"/>
      <c r="E304" s="9"/>
      <c r="F304" s="9"/>
      <c r="G304" s="9"/>
      <c r="H304" s="64"/>
      <c r="I304" s="9"/>
      <c r="J304" s="21"/>
    </row>
    <row r="305" spans="2:16" x14ac:dyDescent="0.35">
      <c r="B305" s="32" t="s">
        <v>2544</v>
      </c>
      <c r="C305" s="5" t="s">
        <v>428</v>
      </c>
      <c r="D305" s="5" t="s">
        <v>34</v>
      </c>
      <c r="E305" s="3">
        <v>0</v>
      </c>
      <c r="F305" s="3">
        <f>42251.72-294.25</f>
        <v>41957.47</v>
      </c>
      <c r="G305" s="54">
        <f t="shared" si="54"/>
        <v>71927.091428571439</v>
      </c>
      <c r="H305" s="62">
        <f>+G305*1.058</f>
        <v>76098.862731428584</v>
      </c>
      <c r="I305" s="3">
        <f>+H305*1.055</f>
        <v>80284.300181657149</v>
      </c>
      <c r="J305" s="18">
        <f>+I305*1.053</f>
        <v>84539.368091284967</v>
      </c>
    </row>
    <row r="306" spans="2:16" x14ac:dyDescent="0.35">
      <c r="B306" s="32" t="s">
        <v>2544</v>
      </c>
      <c r="C306" s="5" t="s">
        <v>429</v>
      </c>
      <c r="D306" s="5" t="s">
        <v>36</v>
      </c>
      <c r="E306" s="3">
        <v>0</v>
      </c>
      <c r="F306" s="3">
        <v>6035.96</v>
      </c>
      <c r="G306" s="54">
        <f t="shared" si="54"/>
        <v>10347.36</v>
      </c>
      <c r="H306" s="62">
        <f t="shared" ref="H306:H312" si="73">+G306*1.058</f>
        <v>10947.506880000001</v>
      </c>
      <c r="I306" s="3">
        <f t="shared" ref="I306:I320" si="74">+H306*1.055</f>
        <v>11549.6197584</v>
      </c>
      <c r="J306" s="18">
        <f t="shared" ref="J306:J320" si="75">+I306*1.053</f>
        <v>12161.7496055952</v>
      </c>
    </row>
    <row r="307" spans="2:16" x14ac:dyDescent="0.35">
      <c r="B307" s="32" t="s">
        <v>2544</v>
      </c>
      <c r="C307" s="5" t="s">
        <v>430</v>
      </c>
      <c r="D307" s="5" t="s">
        <v>38</v>
      </c>
      <c r="E307" s="3">
        <v>0</v>
      </c>
      <c r="F307" s="3">
        <v>1258.48</v>
      </c>
      <c r="G307" s="54">
        <f t="shared" si="54"/>
        <v>2157.3942857142856</v>
      </c>
      <c r="H307" s="62">
        <f t="shared" si="73"/>
        <v>2282.5231542857141</v>
      </c>
      <c r="I307" s="3">
        <f t="shared" si="74"/>
        <v>2408.0619277714281</v>
      </c>
      <c r="J307" s="18">
        <f t="shared" si="75"/>
        <v>2535.6892099433135</v>
      </c>
    </row>
    <row r="308" spans="2:16" x14ac:dyDescent="0.35">
      <c r="B308" s="32" t="s">
        <v>2544</v>
      </c>
      <c r="C308" s="5" t="s">
        <v>431</v>
      </c>
      <c r="D308" s="5" t="s">
        <v>42</v>
      </c>
      <c r="E308" s="3">
        <v>0</v>
      </c>
      <c r="F308" s="3">
        <v>8779.89</v>
      </c>
      <c r="G308" s="54">
        <f t="shared" si="54"/>
        <v>15051.24</v>
      </c>
      <c r="H308" s="62">
        <f t="shared" si="73"/>
        <v>15924.21192</v>
      </c>
      <c r="I308" s="3">
        <f t="shared" si="74"/>
        <v>16800.043575599997</v>
      </c>
      <c r="J308" s="18">
        <f t="shared" si="75"/>
        <v>17690.445885106798</v>
      </c>
    </row>
    <row r="309" spans="2:16" x14ac:dyDescent="0.35">
      <c r="B309" s="32" t="s">
        <v>2544</v>
      </c>
      <c r="C309" s="5" t="s">
        <v>432</v>
      </c>
      <c r="D309" s="5" t="s">
        <v>44</v>
      </c>
      <c r="E309" s="3">
        <v>0</v>
      </c>
      <c r="F309" s="3">
        <v>468.5</v>
      </c>
      <c r="G309" s="54">
        <f t="shared" si="54"/>
        <v>803.14285714285711</v>
      </c>
      <c r="H309" s="62">
        <f t="shared" si="73"/>
        <v>849.72514285714283</v>
      </c>
      <c r="I309" s="3">
        <f t="shared" si="74"/>
        <v>896.46002571428562</v>
      </c>
      <c r="J309" s="18">
        <f t="shared" si="75"/>
        <v>943.97240707714275</v>
      </c>
    </row>
    <row r="310" spans="2:16" x14ac:dyDescent="0.35">
      <c r="B310" s="32" t="s">
        <v>2544</v>
      </c>
      <c r="C310" s="5" t="s">
        <v>433</v>
      </c>
      <c r="D310" s="5" t="s">
        <v>46</v>
      </c>
      <c r="E310" s="3">
        <v>0</v>
      </c>
      <c r="F310" s="3">
        <v>47.46</v>
      </c>
      <c r="G310" s="54">
        <f t="shared" si="54"/>
        <v>81.36</v>
      </c>
      <c r="H310" s="62">
        <f t="shared" si="73"/>
        <v>86.078879999999998</v>
      </c>
      <c r="I310" s="3">
        <f t="shared" si="74"/>
        <v>90.813218399999997</v>
      </c>
      <c r="J310" s="18">
        <f t="shared" si="75"/>
        <v>95.626318975199993</v>
      </c>
      <c r="N310" s="74"/>
    </row>
    <row r="311" spans="2:16" x14ac:dyDescent="0.35">
      <c r="B311" s="32" t="s">
        <v>2544</v>
      </c>
      <c r="C311" s="5" t="s">
        <v>434</v>
      </c>
      <c r="D311" s="5" t="s">
        <v>50</v>
      </c>
      <c r="E311" s="3">
        <v>0</v>
      </c>
      <c r="F311" s="3">
        <v>437.02</v>
      </c>
      <c r="G311" s="54">
        <f t="shared" si="54"/>
        <v>749.17714285714283</v>
      </c>
      <c r="H311" s="62">
        <f t="shared" si="73"/>
        <v>792.62941714285716</v>
      </c>
      <c r="I311" s="3">
        <f t="shared" si="74"/>
        <v>836.22403508571426</v>
      </c>
      <c r="J311" s="18">
        <f t="shared" si="75"/>
        <v>880.54390894525704</v>
      </c>
    </row>
    <row r="312" spans="2:16" x14ac:dyDescent="0.35">
      <c r="B312" s="32" t="s">
        <v>2544</v>
      </c>
      <c r="C312" s="5" t="s">
        <v>435</v>
      </c>
      <c r="D312" s="5" t="s">
        <v>52</v>
      </c>
      <c r="E312" s="3">
        <v>0</v>
      </c>
      <c r="F312" s="3">
        <v>0</v>
      </c>
      <c r="G312" s="54">
        <f t="shared" si="54"/>
        <v>0</v>
      </c>
      <c r="H312" s="62">
        <f t="shared" si="73"/>
        <v>0</v>
      </c>
      <c r="I312" s="3">
        <f t="shared" si="74"/>
        <v>0</v>
      </c>
      <c r="J312" s="18">
        <f t="shared" si="75"/>
        <v>0</v>
      </c>
    </row>
    <row r="313" spans="2:16" x14ac:dyDescent="0.35">
      <c r="B313" s="32" t="s">
        <v>2544</v>
      </c>
      <c r="C313" s="5" t="s">
        <v>436</v>
      </c>
      <c r="D313" s="5" t="s">
        <v>64</v>
      </c>
      <c r="E313" s="3">
        <v>0</v>
      </c>
      <c r="F313" s="3">
        <v>0</v>
      </c>
      <c r="G313" s="54">
        <f t="shared" si="54"/>
        <v>0</v>
      </c>
      <c r="H313" s="62">
        <f>+G313*1.06</f>
        <v>0</v>
      </c>
      <c r="I313" s="3">
        <f t="shared" si="74"/>
        <v>0</v>
      </c>
      <c r="J313" s="18">
        <f t="shared" si="75"/>
        <v>0</v>
      </c>
    </row>
    <row r="314" spans="2:16" x14ac:dyDescent="0.35">
      <c r="B314" s="32" t="s">
        <v>2544</v>
      </c>
      <c r="C314" s="5" t="s">
        <v>437</v>
      </c>
      <c r="D314" s="5" t="s">
        <v>66</v>
      </c>
      <c r="E314" s="3">
        <v>0</v>
      </c>
      <c r="F314" s="3">
        <v>0</v>
      </c>
      <c r="G314" s="54">
        <f t="shared" si="54"/>
        <v>0</v>
      </c>
      <c r="H314" s="62">
        <f t="shared" ref="H314:H320" si="76">+G314*1.06</f>
        <v>0</v>
      </c>
      <c r="I314" s="3">
        <f t="shared" si="74"/>
        <v>0</v>
      </c>
      <c r="J314" s="18">
        <f t="shared" si="75"/>
        <v>0</v>
      </c>
    </row>
    <row r="315" spans="2:16" x14ac:dyDescent="0.35">
      <c r="B315" s="32" t="s">
        <v>2544</v>
      </c>
      <c r="C315" s="5" t="s">
        <v>438</v>
      </c>
      <c r="D315" s="5" t="s">
        <v>68</v>
      </c>
      <c r="E315" s="3">
        <v>0</v>
      </c>
      <c r="F315" s="3">
        <v>0</v>
      </c>
      <c r="G315" s="54">
        <f t="shared" si="54"/>
        <v>0</v>
      </c>
      <c r="H315" s="62">
        <f t="shared" si="76"/>
        <v>0</v>
      </c>
      <c r="I315" s="3">
        <f t="shared" si="74"/>
        <v>0</v>
      </c>
      <c r="J315" s="18">
        <f t="shared" si="75"/>
        <v>0</v>
      </c>
    </row>
    <row r="316" spans="2:16" x14ac:dyDescent="0.35">
      <c r="B316" s="32" t="s">
        <v>2544</v>
      </c>
      <c r="C316" s="5" t="s">
        <v>439</v>
      </c>
      <c r="D316" s="5" t="s">
        <v>440</v>
      </c>
      <c r="E316" s="3">
        <v>0</v>
      </c>
      <c r="F316" s="3">
        <v>0</v>
      </c>
      <c r="G316" s="54">
        <f t="shared" ref="G316:G358" si="77">+F316/7*12</f>
        <v>0</v>
      </c>
      <c r="H316" s="62">
        <f t="shared" si="76"/>
        <v>0</v>
      </c>
      <c r="I316" s="3">
        <f t="shared" si="74"/>
        <v>0</v>
      </c>
      <c r="J316" s="18">
        <f t="shared" si="75"/>
        <v>0</v>
      </c>
      <c r="P316" t="s">
        <v>2623</v>
      </c>
    </row>
    <row r="317" spans="2:16" x14ac:dyDescent="0.35">
      <c r="B317" s="32" t="s">
        <v>2544</v>
      </c>
      <c r="C317" s="5" t="s">
        <v>441</v>
      </c>
      <c r="D317" s="5" t="s">
        <v>417</v>
      </c>
      <c r="E317" s="3">
        <v>50000</v>
      </c>
      <c r="F317" s="3">
        <v>7220.13</v>
      </c>
      <c r="G317" s="54">
        <f t="shared" si="77"/>
        <v>12377.365714285714</v>
      </c>
      <c r="H317" s="75">
        <v>20000</v>
      </c>
      <c r="I317" s="3">
        <f t="shared" si="74"/>
        <v>21100</v>
      </c>
      <c r="J317" s="18">
        <f t="shared" si="75"/>
        <v>22218.3</v>
      </c>
    </row>
    <row r="318" spans="2:16" x14ac:dyDescent="0.35">
      <c r="B318" s="32" t="s">
        <v>2544</v>
      </c>
      <c r="C318" s="5" t="s">
        <v>442</v>
      </c>
      <c r="D318" s="5" t="s">
        <v>120</v>
      </c>
      <c r="E318" s="3">
        <v>0</v>
      </c>
      <c r="F318" s="3">
        <v>0</v>
      </c>
      <c r="G318" s="54">
        <f t="shared" si="77"/>
        <v>0</v>
      </c>
      <c r="H318" s="62">
        <f t="shared" si="76"/>
        <v>0</v>
      </c>
      <c r="I318" s="3">
        <f t="shared" si="74"/>
        <v>0</v>
      </c>
      <c r="J318" s="18">
        <f t="shared" si="75"/>
        <v>0</v>
      </c>
      <c r="O318" t="s">
        <v>2624</v>
      </c>
    </row>
    <row r="319" spans="2:16" x14ac:dyDescent="0.35">
      <c r="B319" s="32" t="s">
        <v>2544</v>
      </c>
      <c r="C319" s="5" t="s">
        <v>443</v>
      </c>
      <c r="D319" s="5" t="s">
        <v>368</v>
      </c>
      <c r="E319" s="3">
        <v>2000</v>
      </c>
      <c r="F319" s="3">
        <v>0</v>
      </c>
      <c r="G319" s="54">
        <f t="shared" si="77"/>
        <v>0</v>
      </c>
      <c r="H319" s="62">
        <f t="shared" si="76"/>
        <v>0</v>
      </c>
      <c r="I319" s="3">
        <f t="shared" si="74"/>
        <v>0</v>
      </c>
      <c r="J319" s="18">
        <f t="shared" si="75"/>
        <v>0</v>
      </c>
      <c r="O319" t="s">
        <v>2625</v>
      </c>
    </row>
    <row r="320" spans="2:16" x14ac:dyDescent="0.35">
      <c r="B320" s="32" t="s">
        <v>2544</v>
      </c>
      <c r="C320" s="5" t="s">
        <v>444</v>
      </c>
      <c r="D320" s="5" t="s">
        <v>124</v>
      </c>
      <c r="E320" s="3">
        <v>0</v>
      </c>
      <c r="F320" s="3">
        <v>0</v>
      </c>
      <c r="G320" s="54">
        <f t="shared" si="77"/>
        <v>0</v>
      </c>
      <c r="H320" s="62">
        <f t="shared" si="76"/>
        <v>0</v>
      </c>
      <c r="I320" s="3">
        <f t="shared" si="74"/>
        <v>0</v>
      </c>
      <c r="J320" s="18">
        <f t="shared" si="75"/>
        <v>0</v>
      </c>
    </row>
    <row r="321" spans="1:10" s="8" customFormat="1" x14ac:dyDescent="0.35">
      <c r="B321" s="33" t="s">
        <v>2546</v>
      </c>
      <c r="C321" s="5"/>
      <c r="D321" s="5"/>
      <c r="E321" s="10">
        <f>SUM(E305:E320)</f>
        <v>52000</v>
      </c>
      <c r="F321" s="10">
        <f t="shared" ref="F321:G321" si="78">SUM(F305:F320)</f>
        <v>66204.91</v>
      </c>
      <c r="G321" s="59">
        <f t="shared" si="78"/>
        <v>113494.13142857143</v>
      </c>
      <c r="H321" s="63">
        <f t="shared" ref="H321:J321" si="79">SUM(H305:H320)</f>
        <v>126981.5381257143</v>
      </c>
      <c r="I321" s="10">
        <f t="shared" si="79"/>
        <v>133965.52272262858</v>
      </c>
      <c r="J321" s="22">
        <f t="shared" si="79"/>
        <v>141065.69542692788</v>
      </c>
    </row>
    <row r="322" spans="1:10" s="8" customFormat="1" ht="11.25" customHeight="1" x14ac:dyDescent="0.35">
      <c r="B322" s="23"/>
      <c r="E322" s="39"/>
      <c r="F322" s="39"/>
      <c r="G322" s="39"/>
      <c r="H322" s="68"/>
      <c r="I322" s="39"/>
      <c r="J322" s="40"/>
    </row>
    <row r="323" spans="1:10" s="8" customFormat="1" ht="15" thickBot="1" x14ac:dyDescent="0.4">
      <c r="B323" s="35" t="s">
        <v>2548</v>
      </c>
      <c r="C323" s="25"/>
      <c r="D323" s="25"/>
      <c r="E323" s="26">
        <f>+E303+E321</f>
        <v>-223000</v>
      </c>
      <c r="F323" s="26">
        <f t="shared" ref="F323:G323" si="80">+F303+F321</f>
        <v>-149964.84</v>
      </c>
      <c r="G323" s="60">
        <f t="shared" si="80"/>
        <v>-257082.5828571429</v>
      </c>
      <c r="H323" s="65">
        <f t="shared" ref="H323:J323" si="81">+H303+H321</f>
        <v>-265829.77901714289</v>
      </c>
      <c r="I323" s="26">
        <f t="shared" si="81"/>
        <v>-280450.4168630857</v>
      </c>
      <c r="J323" s="27">
        <f t="shared" si="81"/>
        <v>-295314.28895682929</v>
      </c>
    </row>
    <row r="324" spans="1:10" s="8" customFormat="1" x14ac:dyDescent="0.35">
      <c r="E324" s="9"/>
      <c r="F324" s="9"/>
      <c r="G324" s="9"/>
      <c r="H324" s="9"/>
      <c r="I324" s="9"/>
      <c r="J324" s="9"/>
    </row>
    <row r="325" spans="1:10" s="8" customFormat="1" x14ac:dyDescent="0.35">
      <c r="E325" s="9"/>
      <c r="F325" s="9"/>
      <c r="G325" s="9"/>
      <c r="H325" s="9"/>
      <c r="I325" s="9"/>
      <c r="J325" s="9"/>
    </row>
    <row r="326" spans="1:10" s="8" customFormat="1" ht="15" thickBot="1" x14ac:dyDescent="0.4">
      <c r="A326" s="12" t="s">
        <v>2589</v>
      </c>
      <c r="B326" s="12" t="s">
        <v>2555</v>
      </c>
      <c r="E326" s="9"/>
      <c r="F326" s="9"/>
      <c r="G326" s="9"/>
      <c r="H326" s="9"/>
      <c r="I326" s="9"/>
      <c r="J326" s="9"/>
    </row>
    <row r="327" spans="1:10" x14ac:dyDescent="0.35">
      <c r="B327" s="41" t="s">
        <v>2543</v>
      </c>
      <c r="C327" s="14" t="s">
        <v>445</v>
      </c>
      <c r="D327" s="14" t="s">
        <v>446</v>
      </c>
      <c r="E327" s="15">
        <v>-160500</v>
      </c>
      <c r="F327" s="15">
        <v>-107680.93</v>
      </c>
      <c r="G327" s="58">
        <f t="shared" si="77"/>
        <v>-184595.88</v>
      </c>
      <c r="H327" s="76">
        <v>-195000</v>
      </c>
      <c r="I327" s="15">
        <f>+H327*1.055</f>
        <v>-205725</v>
      </c>
      <c r="J327" s="16">
        <f>+I327*1.053</f>
        <v>-216628.42499999999</v>
      </c>
    </row>
    <row r="328" spans="1:10" x14ac:dyDescent="0.35">
      <c r="B328" s="42" t="s">
        <v>2543</v>
      </c>
      <c r="C328" s="5" t="s">
        <v>447</v>
      </c>
      <c r="D328" s="5" t="s">
        <v>448</v>
      </c>
      <c r="E328" s="3">
        <v>-2000</v>
      </c>
      <c r="F328" s="3">
        <v>-374</v>
      </c>
      <c r="G328" s="54">
        <f t="shared" si="77"/>
        <v>-641.14285714285711</v>
      </c>
      <c r="H328" s="75">
        <v>-700</v>
      </c>
      <c r="I328" s="3">
        <f t="shared" ref="I328:I331" si="82">+H328*1.055</f>
        <v>-738.5</v>
      </c>
      <c r="J328" s="18">
        <f t="shared" ref="J328:J331" si="83">+I328*1.053</f>
        <v>-777.64049999999997</v>
      </c>
    </row>
    <row r="329" spans="1:10" x14ac:dyDescent="0.35">
      <c r="B329" s="42" t="s">
        <v>2543</v>
      </c>
      <c r="C329" s="5" t="s">
        <v>449</v>
      </c>
      <c r="D329" s="5" t="s">
        <v>126</v>
      </c>
      <c r="E329" s="3">
        <v>0</v>
      </c>
      <c r="F329" s="3">
        <v>-285</v>
      </c>
      <c r="G329" s="54">
        <f t="shared" si="77"/>
        <v>-488.57142857142856</v>
      </c>
      <c r="H329" s="62">
        <v>0</v>
      </c>
      <c r="I329" s="3">
        <f t="shared" si="82"/>
        <v>0</v>
      </c>
      <c r="J329" s="18">
        <f t="shared" si="83"/>
        <v>0</v>
      </c>
    </row>
    <row r="330" spans="1:10" x14ac:dyDescent="0.35">
      <c r="B330" s="42" t="s">
        <v>2543</v>
      </c>
      <c r="C330" s="5" t="s">
        <v>450</v>
      </c>
      <c r="D330" s="5" t="s">
        <v>30</v>
      </c>
      <c r="E330" s="3">
        <v>0</v>
      </c>
      <c r="F330" s="3">
        <v>0</v>
      </c>
      <c r="G330" s="54">
        <f t="shared" si="77"/>
        <v>0</v>
      </c>
      <c r="H330" s="62">
        <f t="shared" ref="H330:H331" si="84">+G330*1.06</f>
        <v>0</v>
      </c>
      <c r="I330" s="3">
        <f t="shared" si="82"/>
        <v>0</v>
      </c>
      <c r="J330" s="18">
        <f t="shared" si="83"/>
        <v>0</v>
      </c>
    </row>
    <row r="331" spans="1:10" x14ac:dyDescent="0.35">
      <c r="B331" s="42" t="s">
        <v>2543</v>
      </c>
      <c r="C331" s="5" t="s">
        <v>451</v>
      </c>
      <c r="D331" s="5" t="s">
        <v>32</v>
      </c>
      <c r="E331" s="3">
        <v>0</v>
      </c>
      <c r="F331" s="3">
        <v>0</v>
      </c>
      <c r="G331" s="54">
        <f t="shared" si="77"/>
        <v>0</v>
      </c>
      <c r="H331" s="62">
        <f t="shared" si="84"/>
        <v>0</v>
      </c>
      <c r="I331" s="3">
        <f t="shared" si="82"/>
        <v>0</v>
      </c>
      <c r="J331" s="18">
        <f t="shared" si="83"/>
        <v>0</v>
      </c>
    </row>
    <row r="332" spans="1:10" s="8" customFormat="1" x14ac:dyDescent="0.35">
      <c r="B332" s="33" t="s">
        <v>2545</v>
      </c>
      <c r="C332" s="5"/>
      <c r="D332" s="5"/>
      <c r="E332" s="10">
        <f>SUM(E327:E331)</f>
        <v>-162500</v>
      </c>
      <c r="F332" s="10">
        <f t="shared" ref="F332:G332" si="85">SUM(F327:F331)</f>
        <v>-108339.93</v>
      </c>
      <c r="G332" s="59">
        <f t="shared" si="85"/>
        <v>-185725.59428571429</v>
      </c>
      <c r="H332" s="63">
        <f t="shared" ref="H332:J332" si="86">SUM(H327:H331)</f>
        <v>-195700</v>
      </c>
      <c r="I332" s="10">
        <f t="shared" si="86"/>
        <v>-206463.5</v>
      </c>
      <c r="J332" s="22">
        <f t="shared" si="86"/>
        <v>-217406.0655</v>
      </c>
    </row>
    <row r="333" spans="1:10" s="8" customFormat="1" x14ac:dyDescent="0.35">
      <c r="B333" s="23"/>
      <c r="E333" s="9"/>
      <c r="F333" s="9"/>
      <c r="G333" s="9"/>
      <c r="H333" s="64"/>
      <c r="I333" s="9"/>
      <c r="J333" s="21"/>
    </row>
    <row r="334" spans="1:10" x14ac:dyDescent="0.35">
      <c r="B334" s="32" t="s">
        <v>2544</v>
      </c>
      <c r="C334" s="5" t="s">
        <v>452</v>
      </c>
      <c r="D334" s="5" t="s">
        <v>34</v>
      </c>
      <c r="E334" s="3">
        <v>0</v>
      </c>
      <c r="F334" s="3">
        <v>0</v>
      </c>
      <c r="G334" s="54">
        <f t="shared" si="77"/>
        <v>0</v>
      </c>
      <c r="H334" s="62">
        <f>+G334*1.058</f>
        <v>0</v>
      </c>
      <c r="I334" s="3">
        <f>+H334*1.055</f>
        <v>0</v>
      </c>
      <c r="J334" s="18">
        <f>+I334*1.053</f>
        <v>0</v>
      </c>
    </row>
    <row r="335" spans="1:10" x14ac:dyDescent="0.35">
      <c r="B335" s="32" t="s">
        <v>2544</v>
      </c>
      <c r="C335" s="5" t="s">
        <v>453</v>
      </c>
      <c r="D335" s="5" t="s">
        <v>38</v>
      </c>
      <c r="E335" s="3">
        <v>0</v>
      </c>
      <c r="F335" s="3">
        <v>0</v>
      </c>
      <c r="G335" s="54">
        <f t="shared" si="77"/>
        <v>0</v>
      </c>
      <c r="H335" s="62">
        <f t="shared" ref="H335:H336" si="87">+G335*1.058</f>
        <v>0</v>
      </c>
      <c r="I335" s="3">
        <f t="shared" ref="I335:I349" si="88">+H335*1.055</f>
        <v>0</v>
      </c>
      <c r="J335" s="18">
        <f t="shared" ref="J335:J349" si="89">+I335*1.053</f>
        <v>0</v>
      </c>
    </row>
    <row r="336" spans="1:10" x14ac:dyDescent="0.35">
      <c r="B336" s="32" t="s">
        <v>2544</v>
      </c>
      <c r="C336" s="5" t="s">
        <v>454</v>
      </c>
      <c r="D336" s="5" t="s">
        <v>52</v>
      </c>
      <c r="E336" s="3">
        <v>0</v>
      </c>
      <c r="F336" s="3">
        <v>0</v>
      </c>
      <c r="G336" s="54">
        <f t="shared" si="77"/>
        <v>0</v>
      </c>
      <c r="H336" s="62">
        <f t="shared" si="87"/>
        <v>0</v>
      </c>
      <c r="I336" s="3">
        <f t="shared" si="88"/>
        <v>0</v>
      </c>
      <c r="J336" s="18">
        <f t="shared" si="89"/>
        <v>0</v>
      </c>
    </row>
    <row r="337" spans="2:10" x14ac:dyDescent="0.35">
      <c r="B337" s="32" t="s">
        <v>2544</v>
      </c>
      <c r="C337" s="5" t="s">
        <v>455</v>
      </c>
      <c r="D337" s="5" t="s">
        <v>64</v>
      </c>
      <c r="E337" s="3">
        <v>492000</v>
      </c>
      <c r="F337" s="3">
        <v>0</v>
      </c>
      <c r="G337" s="54">
        <f t="shared" si="77"/>
        <v>0</v>
      </c>
      <c r="H337" s="62">
        <f>+G337*1.06</f>
        <v>0</v>
      </c>
      <c r="I337" s="3">
        <f t="shared" si="88"/>
        <v>0</v>
      </c>
      <c r="J337" s="18">
        <f t="shared" si="89"/>
        <v>0</v>
      </c>
    </row>
    <row r="338" spans="2:10" x14ac:dyDescent="0.35">
      <c r="B338" s="32" t="s">
        <v>2544</v>
      </c>
      <c r="C338" s="5" t="s">
        <v>456</v>
      </c>
      <c r="D338" s="5" t="s">
        <v>66</v>
      </c>
      <c r="E338" s="3">
        <v>0</v>
      </c>
      <c r="F338" s="3">
        <v>0</v>
      </c>
      <c r="G338" s="54">
        <f t="shared" si="77"/>
        <v>0</v>
      </c>
      <c r="H338" s="62">
        <f t="shared" ref="H338:H349" si="90">+G338*1.06</f>
        <v>0</v>
      </c>
      <c r="I338" s="3">
        <f t="shared" si="88"/>
        <v>0</v>
      </c>
      <c r="J338" s="18">
        <f t="shared" si="89"/>
        <v>0</v>
      </c>
    </row>
    <row r="339" spans="2:10" x14ac:dyDescent="0.35">
      <c r="B339" s="32" t="s">
        <v>2544</v>
      </c>
      <c r="C339" s="5" t="s">
        <v>457</v>
      </c>
      <c r="D339" s="5" t="s">
        <v>68</v>
      </c>
      <c r="E339" s="3">
        <v>0</v>
      </c>
      <c r="F339" s="3">
        <v>0</v>
      </c>
      <c r="G339" s="54">
        <f t="shared" si="77"/>
        <v>0</v>
      </c>
      <c r="H339" s="62">
        <f t="shared" si="90"/>
        <v>0</v>
      </c>
      <c r="I339" s="3">
        <f t="shared" si="88"/>
        <v>0</v>
      </c>
      <c r="J339" s="18">
        <f t="shared" si="89"/>
        <v>0</v>
      </c>
    </row>
    <row r="340" spans="2:10" x14ac:dyDescent="0.35">
      <c r="B340" s="32" t="s">
        <v>2544</v>
      </c>
      <c r="C340" s="5" t="s">
        <v>458</v>
      </c>
      <c r="D340" s="5" t="s">
        <v>459</v>
      </c>
      <c r="E340" s="3">
        <v>15000</v>
      </c>
      <c r="F340" s="3">
        <f>12211.94-1066.44</f>
        <v>11145.5</v>
      </c>
      <c r="G340" s="54">
        <f t="shared" si="77"/>
        <v>19106.571428571428</v>
      </c>
      <c r="H340" s="75">
        <v>20000</v>
      </c>
      <c r="I340" s="3">
        <f t="shared" si="88"/>
        <v>21100</v>
      </c>
      <c r="J340" s="18">
        <f t="shared" si="89"/>
        <v>22218.3</v>
      </c>
    </row>
    <row r="341" spans="2:10" x14ac:dyDescent="0.35">
      <c r="B341" s="32" t="s">
        <v>2544</v>
      </c>
      <c r="C341" s="5" t="s">
        <v>460</v>
      </c>
      <c r="D341" s="5" t="s">
        <v>238</v>
      </c>
      <c r="E341" s="3">
        <v>0</v>
      </c>
      <c r="F341" s="3">
        <v>0</v>
      </c>
      <c r="G341" s="54">
        <f t="shared" si="77"/>
        <v>0</v>
      </c>
      <c r="H341" s="62">
        <f t="shared" si="90"/>
        <v>0</v>
      </c>
      <c r="I341" s="3">
        <f t="shared" si="88"/>
        <v>0</v>
      </c>
      <c r="J341" s="18">
        <f t="shared" si="89"/>
        <v>0</v>
      </c>
    </row>
    <row r="342" spans="2:10" x14ac:dyDescent="0.35">
      <c r="B342" s="32" t="s">
        <v>2544</v>
      </c>
      <c r="C342" s="5" t="s">
        <v>461</v>
      </c>
      <c r="D342" s="5" t="s">
        <v>240</v>
      </c>
      <c r="E342" s="3">
        <v>0</v>
      </c>
      <c r="F342" s="3">
        <v>0</v>
      </c>
      <c r="G342" s="54">
        <f t="shared" si="77"/>
        <v>0</v>
      </c>
      <c r="H342" s="62">
        <f t="shared" si="90"/>
        <v>0</v>
      </c>
      <c r="I342" s="3">
        <f t="shared" si="88"/>
        <v>0</v>
      </c>
      <c r="J342" s="18">
        <f t="shared" si="89"/>
        <v>0</v>
      </c>
    </row>
    <row r="343" spans="2:10" x14ac:dyDescent="0.35">
      <c r="B343" s="32" t="s">
        <v>2544</v>
      </c>
      <c r="C343" s="5" t="s">
        <v>462</v>
      </c>
      <c r="D343" s="5" t="s">
        <v>242</v>
      </c>
      <c r="E343" s="3">
        <v>0</v>
      </c>
      <c r="F343" s="3">
        <v>0</v>
      </c>
      <c r="G343" s="54">
        <f t="shared" si="77"/>
        <v>0</v>
      </c>
      <c r="H343" s="62">
        <f t="shared" si="90"/>
        <v>0</v>
      </c>
      <c r="I343" s="3">
        <f t="shared" si="88"/>
        <v>0</v>
      </c>
      <c r="J343" s="18">
        <f t="shared" si="89"/>
        <v>0</v>
      </c>
    </row>
    <row r="344" spans="2:10" x14ac:dyDescent="0.35">
      <c r="B344" s="32" t="s">
        <v>2544</v>
      </c>
      <c r="C344" s="5" t="s">
        <v>463</v>
      </c>
      <c r="D344" s="5" t="s">
        <v>417</v>
      </c>
      <c r="E344" s="3">
        <v>20000</v>
      </c>
      <c r="F344" s="3">
        <f>153205.69-160.12</f>
        <v>153045.57</v>
      </c>
      <c r="G344" s="54">
        <f t="shared" si="77"/>
        <v>262363.83428571431</v>
      </c>
      <c r="H344" s="75">
        <v>210000</v>
      </c>
      <c r="I344" s="3">
        <f t="shared" si="88"/>
        <v>221550</v>
      </c>
      <c r="J344" s="18">
        <f t="shared" si="89"/>
        <v>233292.15</v>
      </c>
    </row>
    <row r="345" spans="2:10" x14ac:dyDescent="0.35">
      <c r="B345" s="32" t="s">
        <v>2544</v>
      </c>
      <c r="C345" s="5" t="s">
        <v>464</v>
      </c>
      <c r="D345" s="5" t="s">
        <v>465</v>
      </c>
      <c r="E345" s="3">
        <v>0</v>
      </c>
      <c r="F345" s="3">
        <v>0</v>
      </c>
      <c r="G345" s="54">
        <f t="shared" si="77"/>
        <v>0</v>
      </c>
      <c r="H345" s="62">
        <f t="shared" si="90"/>
        <v>0</v>
      </c>
      <c r="I345" s="3">
        <f t="shared" si="88"/>
        <v>0</v>
      </c>
      <c r="J345" s="18">
        <f t="shared" si="89"/>
        <v>0</v>
      </c>
    </row>
    <row r="346" spans="2:10" x14ac:dyDescent="0.35">
      <c r="B346" s="32" t="s">
        <v>2544</v>
      </c>
      <c r="C346" s="5" t="s">
        <v>466</v>
      </c>
      <c r="D346" s="5" t="s">
        <v>120</v>
      </c>
      <c r="E346" s="3">
        <v>0</v>
      </c>
      <c r="F346" s="3">
        <v>0</v>
      </c>
      <c r="G346" s="54">
        <f t="shared" si="77"/>
        <v>0</v>
      </c>
      <c r="H346" s="62">
        <f t="shared" si="90"/>
        <v>0</v>
      </c>
      <c r="I346" s="3">
        <f t="shared" si="88"/>
        <v>0</v>
      </c>
      <c r="J346" s="18">
        <f t="shared" si="89"/>
        <v>0</v>
      </c>
    </row>
    <row r="347" spans="2:10" x14ac:dyDescent="0.35">
      <c r="B347" s="32" t="s">
        <v>2544</v>
      </c>
      <c r="C347" s="5" t="s">
        <v>467</v>
      </c>
      <c r="D347" s="5" t="s">
        <v>420</v>
      </c>
      <c r="E347" s="3">
        <v>0</v>
      </c>
      <c r="F347" s="3">
        <v>0</v>
      </c>
      <c r="G347" s="54">
        <f t="shared" si="77"/>
        <v>0</v>
      </c>
      <c r="H347" s="62">
        <f t="shared" si="90"/>
        <v>0</v>
      </c>
      <c r="I347" s="3">
        <f t="shared" si="88"/>
        <v>0</v>
      </c>
      <c r="J347" s="18">
        <f t="shared" si="89"/>
        <v>0</v>
      </c>
    </row>
    <row r="348" spans="2:10" x14ac:dyDescent="0.35">
      <c r="B348" s="32" t="s">
        <v>2544</v>
      </c>
      <c r="C348" s="5" t="s">
        <v>468</v>
      </c>
      <c r="D348" s="5" t="s">
        <v>368</v>
      </c>
      <c r="E348" s="3">
        <v>0</v>
      </c>
      <c r="F348" s="3">
        <v>0</v>
      </c>
      <c r="G348" s="54">
        <f t="shared" si="77"/>
        <v>0</v>
      </c>
      <c r="H348" s="62">
        <f t="shared" si="90"/>
        <v>0</v>
      </c>
      <c r="I348" s="3">
        <f t="shared" si="88"/>
        <v>0</v>
      </c>
      <c r="J348" s="18">
        <f t="shared" si="89"/>
        <v>0</v>
      </c>
    </row>
    <row r="349" spans="2:10" x14ac:dyDescent="0.35">
      <c r="B349" s="32" t="s">
        <v>2544</v>
      </c>
      <c r="C349" s="5" t="s">
        <v>469</v>
      </c>
      <c r="D349" s="5" t="s">
        <v>124</v>
      </c>
      <c r="E349" s="3">
        <v>0</v>
      </c>
      <c r="F349" s="3">
        <v>0</v>
      </c>
      <c r="G349" s="54">
        <f t="shared" si="77"/>
        <v>0</v>
      </c>
      <c r="H349" s="62">
        <f t="shared" si="90"/>
        <v>0</v>
      </c>
      <c r="I349" s="3">
        <f t="shared" si="88"/>
        <v>0</v>
      </c>
      <c r="J349" s="18">
        <f t="shared" si="89"/>
        <v>0</v>
      </c>
    </row>
    <row r="350" spans="2:10" s="8" customFormat="1" x14ac:dyDescent="0.35">
      <c r="B350" s="33" t="s">
        <v>2546</v>
      </c>
      <c r="C350" s="5"/>
      <c r="D350" s="5"/>
      <c r="E350" s="10">
        <f>SUM(E334:E349)</f>
        <v>527000</v>
      </c>
      <c r="F350" s="10">
        <f t="shared" ref="F350:G350" si="91">SUM(F334:F349)</f>
        <v>164191.07</v>
      </c>
      <c r="G350" s="59">
        <f t="shared" si="91"/>
        <v>281470.40571428573</v>
      </c>
      <c r="H350" s="63">
        <f t="shared" ref="H350:J350" si="92">SUM(H334:H349)</f>
        <v>230000</v>
      </c>
      <c r="I350" s="10">
        <f t="shared" si="92"/>
        <v>242650</v>
      </c>
      <c r="J350" s="22">
        <f t="shared" si="92"/>
        <v>255510.44999999998</v>
      </c>
    </row>
    <row r="351" spans="2:10" s="8" customFormat="1" ht="8.25" customHeight="1" x14ac:dyDescent="0.35">
      <c r="B351" s="23"/>
      <c r="E351" s="39"/>
      <c r="F351" s="39"/>
      <c r="G351" s="39"/>
      <c r="H351" s="68"/>
      <c r="I351" s="39"/>
      <c r="J351" s="40"/>
    </row>
    <row r="352" spans="2:10" s="8" customFormat="1" ht="15" thickBot="1" x14ac:dyDescent="0.4">
      <c r="B352" s="35" t="s">
        <v>2548</v>
      </c>
      <c r="C352" s="25"/>
      <c r="D352" s="25"/>
      <c r="E352" s="26">
        <f>+E332+E350</f>
        <v>364500</v>
      </c>
      <c r="F352" s="26">
        <f t="shared" ref="F352:G352" si="93">+F332+F350</f>
        <v>55851.140000000014</v>
      </c>
      <c r="G352" s="60">
        <f t="shared" si="93"/>
        <v>95744.81142857144</v>
      </c>
      <c r="H352" s="65">
        <f t="shared" ref="H352:J352" si="94">+H332+H350</f>
        <v>34300</v>
      </c>
      <c r="I352" s="26">
        <f t="shared" si="94"/>
        <v>36186.5</v>
      </c>
      <c r="J352" s="27">
        <f t="shared" si="94"/>
        <v>38104.384499999986</v>
      </c>
    </row>
    <row r="353" spans="1:10" s="8" customFormat="1" x14ac:dyDescent="0.35">
      <c r="E353" s="9"/>
      <c r="F353" s="9"/>
      <c r="G353" s="9"/>
      <c r="H353" s="9"/>
      <c r="I353" s="9"/>
      <c r="J353" s="9"/>
    </row>
    <row r="354" spans="1:10" s="8" customFormat="1" x14ac:dyDescent="0.35">
      <c r="E354" s="9"/>
      <c r="F354" s="9"/>
      <c r="G354" s="9"/>
      <c r="H354" s="9"/>
      <c r="I354" s="9"/>
      <c r="J354" s="9"/>
    </row>
    <row r="355" spans="1:10" s="8" customFormat="1" ht="15" thickBot="1" x14ac:dyDescent="0.4">
      <c r="A355" s="12" t="s">
        <v>2589</v>
      </c>
      <c r="B355" s="12" t="s">
        <v>2557</v>
      </c>
      <c r="E355" s="9"/>
      <c r="F355" s="9"/>
      <c r="G355" s="9"/>
      <c r="H355" s="9"/>
      <c r="I355" s="9"/>
      <c r="J355" s="9"/>
    </row>
    <row r="356" spans="1:10" x14ac:dyDescent="0.35">
      <c r="B356" s="31" t="s">
        <v>2543</v>
      </c>
      <c r="C356" s="14" t="s">
        <v>485</v>
      </c>
      <c r="D356" s="14" t="s">
        <v>126</v>
      </c>
      <c r="E356" s="15">
        <v>0</v>
      </c>
      <c r="F356" s="15">
        <v>0</v>
      </c>
      <c r="G356" s="58">
        <f t="shared" si="77"/>
        <v>0</v>
      </c>
      <c r="H356" s="61">
        <f>+G356*1.06</f>
        <v>0</v>
      </c>
      <c r="I356" s="15">
        <f>+H356*1.055</f>
        <v>0</v>
      </c>
      <c r="J356" s="16">
        <f>+I356*1.053</f>
        <v>0</v>
      </c>
    </row>
    <row r="357" spans="1:10" x14ac:dyDescent="0.35">
      <c r="B357" s="32" t="s">
        <v>2543</v>
      </c>
      <c r="C357" s="5" t="s">
        <v>486</v>
      </c>
      <c r="D357" s="5" t="s">
        <v>22</v>
      </c>
      <c r="E357" s="3">
        <v>-5500</v>
      </c>
      <c r="F357" s="3">
        <v>-4302</v>
      </c>
      <c r="G357" s="54">
        <f t="shared" si="77"/>
        <v>-7374.8571428571431</v>
      </c>
      <c r="H357" s="75">
        <v>-8000</v>
      </c>
      <c r="I357" s="3">
        <f t="shared" ref="I357:I359" si="95">+H357*1.055</f>
        <v>-8440</v>
      </c>
      <c r="J357" s="18">
        <f t="shared" ref="J357:J359" si="96">+I357*1.053</f>
        <v>-8887.32</v>
      </c>
    </row>
    <row r="358" spans="1:10" x14ac:dyDescent="0.35">
      <c r="B358" s="32" t="s">
        <v>2543</v>
      </c>
      <c r="C358" s="5" t="s">
        <v>487</v>
      </c>
      <c r="D358" s="5" t="s">
        <v>30</v>
      </c>
      <c r="E358" s="3">
        <v>0</v>
      </c>
      <c r="F358" s="3">
        <v>0</v>
      </c>
      <c r="G358" s="54">
        <f t="shared" si="77"/>
        <v>0</v>
      </c>
      <c r="H358" s="62">
        <f t="shared" ref="H358:H359" si="97">+G358*1.06</f>
        <v>0</v>
      </c>
      <c r="I358" s="3">
        <f t="shared" si="95"/>
        <v>0</v>
      </c>
      <c r="J358" s="18">
        <f t="shared" si="96"/>
        <v>0</v>
      </c>
    </row>
    <row r="359" spans="1:10" x14ac:dyDescent="0.35">
      <c r="B359" s="32" t="s">
        <v>2543</v>
      </c>
      <c r="C359" s="5" t="s">
        <v>488</v>
      </c>
      <c r="D359" s="5" t="s">
        <v>32</v>
      </c>
      <c r="E359" s="3">
        <v>0</v>
      </c>
      <c r="F359" s="3">
        <v>0</v>
      </c>
      <c r="G359" s="54">
        <f t="shared" ref="G359:G424" si="98">+F359/7*12</f>
        <v>0</v>
      </c>
      <c r="H359" s="62">
        <f t="shared" si="97"/>
        <v>0</v>
      </c>
      <c r="I359" s="3">
        <f t="shared" si="95"/>
        <v>0</v>
      </c>
      <c r="J359" s="18">
        <f t="shared" si="96"/>
        <v>0</v>
      </c>
    </row>
    <row r="360" spans="1:10" s="8" customFormat="1" x14ac:dyDescent="0.35">
      <c r="B360" s="33" t="s">
        <v>2545</v>
      </c>
      <c r="C360" s="5"/>
      <c r="D360" s="5"/>
      <c r="E360" s="10">
        <f>SUM(E356:E359)</f>
        <v>-5500</v>
      </c>
      <c r="F360" s="10">
        <f t="shared" ref="F360:G360" si="99">SUM(F356:F359)</f>
        <v>-4302</v>
      </c>
      <c r="G360" s="59">
        <f t="shared" si="99"/>
        <v>-7374.8571428571431</v>
      </c>
      <c r="H360" s="63">
        <f t="shared" ref="H360:J360" si="100">SUM(H356:H359)</f>
        <v>-8000</v>
      </c>
      <c r="I360" s="10">
        <f t="shared" si="100"/>
        <v>-8440</v>
      </c>
      <c r="J360" s="22">
        <f t="shared" si="100"/>
        <v>-8887.32</v>
      </c>
    </row>
    <row r="361" spans="1:10" s="8" customFormat="1" x14ac:dyDescent="0.35">
      <c r="B361" s="23"/>
      <c r="E361" s="9"/>
      <c r="F361" s="9"/>
      <c r="G361" s="9"/>
      <c r="H361" s="64"/>
      <c r="I361" s="9"/>
      <c r="J361" s="21"/>
    </row>
    <row r="362" spans="1:10" x14ac:dyDescent="0.35">
      <c r="B362" s="32" t="s">
        <v>2544</v>
      </c>
      <c r="C362" s="5" t="s">
        <v>489</v>
      </c>
      <c r="D362" s="5" t="s">
        <v>34</v>
      </c>
      <c r="E362" s="3">
        <v>0</v>
      </c>
      <c r="F362" s="3">
        <v>48037.14</v>
      </c>
      <c r="G362" s="54">
        <f t="shared" si="98"/>
        <v>82349.38285714286</v>
      </c>
      <c r="H362" s="62">
        <f>+G362*1.058</f>
        <v>87125.647062857155</v>
      </c>
      <c r="I362" s="3">
        <f>+H362*1.055</f>
        <v>91917.557651314288</v>
      </c>
      <c r="J362" s="18">
        <f>+I362*1.053</f>
        <v>96789.188206833933</v>
      </c>
    </row>
    <row r="363" spans="1:10" x14ac:dyDescent="0.35">
      <c r="B363" s="32" t="s">
        <v>2544</v>
      </c>
      <c r="C363" s="5" t="s">
        <v>490</v>
      </c>
      <c r="D363" s="5" t="s">
        <v>36</v>
      </c>
      <c r="E363" s="3">
        <v>0</v>
      </c>
      <c r="F363" s="3">
        <v>7306.41</v>
      </c>
      <c r="G363" s="54">
        <f t="shared" si="98"/>
        <v>12525.274285714288</v>
      </c>
      <c r="H363" s="62">
        <f t="shared" ref="H363:H370" si="101">+G363*1.058</f>
        <v>13251.740194285718</v>
      </c>
      <c r="I363" s="3">
        <f t="shared" ref="I363:I383" si="102">+H363*1.055</f>
        <v>13980.585904971431</v>
      </c>
      <c r="J363" s="18">
        <f t="shared" ref="J363:J383" si="103">+I363*1.053</f>
        <v>14721.556957934916</v>
      </c>
    </row>
    <row r="364" spans="1:10" x14ac:dyDescent="0.35">
      <c r="B364" s="32" t="s">
        <v>2544</v>
      </c>
      <c r="C364" s="5" t="s">
        <v>491</v>
      </c>
      <c r="D364" s="5" t="s">
        <v>38</v>
      </c>
      <c r="E364" s="3">
        <v>0</v>
      </c>
      <c r="F364" s="3">
        <v>0</v>
      </c>
      <c r="G364" s="54">
        <f t="shared" si="98"/>
        <v>0</v>
      </c>
      <c r="H364" s="62">
        <f t="shared" si="101"/>
        <v>0</v>
      </c>
      <c r="I364" s="3">
        <f t="shared" si="102"/>
        <v>0</v>
      </c>
      <c r="J364" s="18">
        <f t="shared" si="103"/>
        <v>0</v>
      </c>
    </row>
    <row r="365" spans="1:10" x14ac:dyDescent="0.35">
      <c r="B365" s="32" t="s">
        <v>2544</v>
      </c>
      <c r="C365" s="5" t="s">
        <v>492</v>
      </c>
      <c r="D365" s="5" t="s">
        <v>40</v>
      </c>
      <c r="E365" s="3">
        <v>0</v>
      </c>
      <c r="F365" s="3">
        <v>0</v>
      </c>
      <c r="G365" s="54">
        <f t="shared" si="98"/>
        <v>0</v>
      </c>
      <c r="H365" s="62">
        <f t="shared" si="101"/>
        <v>0</v>
      </c>
      <c r="I365" s="3">
        <f t="shared" si="102"/>
        <v>0</v>
      </c>
      <c r="J365" s="18">
        <f t="shared" si="103"/>
        <v>0</v>
      </c>
    </row>
    <row r="366" spans="1:10" x14ac:dyDescent="0.35">
      <c r="B366" s="32" t="s">
        <v>2544</v>
      </c>
      <c r="C366" s="5" t="s">
        <v>493</v>
      </c>
      <c r="D366" s="5" t="s">
        <v>42</v>
      </c>
      <c r="E366" s="3">
        <v>0</v>
      </c>
      <c r="F366" s="3">
        <v>8573.11</v>
      </c>
      <c r="G366" s="54">
        <f t="shared" si="98"/>
        <v>14696.76</v>
      </c>
      <c r="H366" s="62">
        <f t="shared" si="101"/>
        <v>15549.17208</v>
      </c>
      <c r="I366" s="3">
        <f t="shared" si="102"/>
        <v>16404.376544399998</v>
      </c>
      <c r="J366" s="18">
        <f t="shared" si="103"/>
        <v>17273.808501253196</v>
      </c>
    </row>
    <row r="367" spans="1:10" x14ac:dyDescent="0.35">
      <c r="B367" s="32" t="s">
        <v>2544</v>
      </c>
      <c r="C367" s="5" t="s">
        <v>494</v>
      </c>
      <c r="D367" s="5" t="s">
        <v>44</v>
      </c>
      <c r="E367" s="3">
        <v>0</v>
      </c>
      <c r="F367" s="3">
        <v>477.83</v>
      </c>
      <c r="G367" s="54">
        <f t="shared" si="98"/>
        <v>819.13714285714286</v>
      </c>
      <c r="H367" s="62">
        <f t="shared" si="101"/>
        <v>866.64709714285721</v>
      </c>
      <c r="I367" s="3">
        <f t="shared" si="102"/>
        <v>914.31268748571426</v>
      </c>
      <c r="J367" s="18">
        <f t="shared" si="103"/>
        <v>962.77125992245703</v>
      </c>
    </row>
    <row r="368" spans="1:10" x14ac:dyDescent="0.35">
      <c r="B368" s="32" t="s">
        <v>2544</v>
      </c>
      <c r="C368" s="5" t="s">
        <v>495</v>
      </c>
      <c r="D368" s="5" t="s">
        <v>46</v>
      </c>
      <c r="E368" s="3">
        <v>0</v>
      </c>
      <c r="F368" s="3">
        <v>47.46</v>
      </c>
      <c r="G368" s="54">
        <f t="shared" si="98"/>
        <v>81.36</v>
      </c>
      <c r="H368" s="62">
        <f t="shared" si="101"/>
        <v>86.078879999999998</v>
      </c>
      <c r="I368" s="3">
        <f t="shared" si="102"/>
        <v>90.813218399999997</v>
      </c>
      <c r="J368" s="18">
        <f t="shared" si="103"/>
        <v>95.626318975199993</v>
      </c>
    </row>
    <row r="369" spans="2:10" x14ac:dyDescent="0.35">
      <c r="B369" s="32" t="s">
        <v>2544</v>
      </c>
      <c r="C369" s="5" t="s">
        <v>496</v>
      </c>
      <c r="D369" s="5" t="s">
        <v>50</v>
      </c>
      <c r="E369" s="3">
        <v>0</v>
      </c>
      <c r="F369" s="3">
        <v>417.13</v>
      </c>
      <c r="G369" s="54">
        <f t="shared" si="98"/>
        <v>715.07999999999993</v>
      </c>
      <c r="H369" s="62">
        <f t="shared" si="101"/>
        <v>756.55463999999995</v>
      </c>
      <c r="I369" s="3">
        <f t="shared" si="102"/>
        <v>798.16514519999987</v>
      </c>
      <c r="J369" s="18">
        <f t="shared" si="103"/>
        <v>840.46789789559978</v>
      </c>
    </row>
    <row r="370" spans="2:10" x14ac:dyDescent="0.35">
      <c r="B370" s="32" t="s">
        <v>2544</v>
      </c>
      <c r="C370" s="5" t="s">
        <v>497</v>
      </c>
      <c r="D370" s="5" t="s">
        <v>52</v>
      </c>
      <c r="E370" s="3">
        <v>0</v>
      </c>
      <c r="F370" s="3">
        <v>1971.6</v>
      </c>
      <c r="G370" s="54">
        <f t="shared" si="98"/>
        <v>3379.8857142857141</v>
      </c>
      <c r="H370" s="62">
        <f t="shared" si="101"/>
        <v>3575.9190857142858</v>
      </c>
      <c r="I370" s="3">
        <f t="shared" si="102"/>
        <v>3772.5946354285711</v>
      </c>
      <c r="J370" s="18">
        <f t="shared" si="103"/>
        <v>3972.542151106285</v>
      </c>
    </row>
    <row r="371" spans="2:10" x14ac:dyDescent="0.35">
      <c r="B371" s="32" t="s">
        <v>2544</v>
      </c>
      <c r="C371" s="5" t="s">
        <v>498</v>
      </c>
      <c r="D371" s="5" t="s">
        <v>64</v>
      </c>
      <c r="E371" s="3">
        <v>0</v>
      </c>
      <c r="F371" s="3">
        <v>0</v>
      </c>
      <c r="G371" s="54">
        <f t="shared" si="98"/>
        <v>0</v>
      </c>
      <c r="H371" s="62">
        <f>+G371*1.06</f>
        <v>0</v>
      </c>
      <c r="I371" s="3">
        <f t="shared" si="102"/>
        <v>0</v>
      </c>
      <c r="J371" s="18">
        <f t="shared" si="103"/>
        <v>0</v>
      </c>
    </row>
    <row r="372" spans="2:10" x14ac:dyDescent="0.35">
      <c r="B372" s="32" t="s">
        <v>2544</v>
      </c>
      <c r="C372" s="5" t="s">
        <v>499</v>
      </c>
      <c r="D372" s="5" t="s">
        <v>66</v>
      </c>
      <c r="E372" s="3">
        <v>0</v>
      </c>
      <c r="F372" s="3">
        <v>0</v>
      </c>
      <c r="G372" s="54">
        <f t="shared" si="98"/>
        <v>0</v>
      </c>
      <c r="H372" s="62">
        <f t="shared" ref="H372:H383" si="104">+G372*1.06</f>
        <v>0</v>
      </c>
      <c r="I372" s="3">
        <f t="shared" si="102"/>
        <v>0</v>
      </c>
      <c r="J372" s="18">
        <f t="shared" si="103"/>
        <v>0</v>
      </c>
    </row>
    <row r="373" spans="2:10" x14ac:dyDescent="0.35">
      <c r="B373" s="32" t="s">
        <v>2544</v>
      </c>
      <c r="C373" s="5" t="s">
        <v>500</v>
      </c>
      <c r="D373" s="5" t="s">
        <v>68</v>
      </c>
      <c r="E373" s="3">
        <v>0</v>
      </c>
      <c r="F373" s="3">
        <v>0</v>
      </c>
      <c r="G373" s="54">
        <f t="shared" si="98"/>
        <v>0</v>
      </c>
      <c r="H373" s="62">
        <f t="shared" si="104"/>
        <v>0</v>
      </c>
      <c r="I373" s="3">
        <f t="shared" si="102"/>
        <v>0</v>
      </c>
      <c r="J373" s="18">
        <f t="shared" si="103"/>
        <v>0</v>
      </c>
    </row>
    <row r="374" spans="2:10" x14ac:dyDescent="0.35">
      <c r="B374" s="32" t="s">
        <v>2544</v>
      </c>
      <c r="C374" s="5" t="s">
        <v>501</v>
      </c>
      <c r="D374" s="5" t="s">
        <v>90</v>
      </c>
      <c r="E374" s="3">
        <v>6000</v>
      </c>
      <c r="F374" s="3">
        <v>6000</v>
      </c>
      <c r="G374" s="54">
        <f t="shared" si="98"/>
        <v>10285.714285714286</v>
      </c>
      <c r="H374" s="62">
        <f t="shared" si="104"/>
        <v>10902.857142857143</v>
      </c>
      <c r="I374" s="3">
        <f t="shared" si="102"/>
        <v>11502.514285714286</v>
      </c>
      <c r="J374" s="18">
        <f t="shared" si="103"/>
        <v>12112.147542857141</v>
      </c>
    </row>
    <row r="375" spans="2:10" x14ac:dyDescent="0.35">
      <c r="B375" s="32"/>
      <c r="C375" s="5"/>
      <c r="D375" s="5" t="s">
        <v>2648</v>
      </c>
      <c r="E375" s="3"/>
      <c r="F375" s="3"/>
      <c r="G375" s="54"/>
      <c r="H375" s="75">
        <v>2000</v>
      </c>
      <c r="I375" s="3"/>
      <c r="J375" s="18"/>
    </row>
    <row r="376" spans="2:10" x14ac:dyDescent="0.35">
      <c r="B376" s="32" t="s">
        <v>2544</v>
      </c>
      <c r="C376" s="5" t="s">
        <v>502</v>
      </c>
      <c r="D376" s="5" t="s">
        <v>440</v>
      </c>
      <c r="E376" s="3">
        <v>0</v>
      </c>
      <c r="F376" s="3">
        <v>0</v>
      </c>
      <c r="G376" s="54">
        <f t="shared" si="98"/>
        <v>0</v>
      </c>
      <c r="H376" s="62">
        <f t="shared" si="104"/>
        <v>0</v>
      </c>
      <c r="I376" s="3">
        <f t="shared" si="102"/>
        <v>0</v>
      </c>
      <c r="J376" s="18">
        <f t="shared" si="103"/>
        <v>0</v>
      </c>
    </row>
    <row r="377" spans="2:10" x14ac:dyDescent="0.35">
      <c r="B377" s="32" t="s">
        <v>2544</v>
      </c>
      <c r="C377" s="5" t="s">
        <v>503</v>
      </c>
      <c r="D377" s="5" t="s">
        <v>504</v>
      </c>
      <c r="E377" s="3">
        <v>0</v>
      </c>
      <c r="F377" s="3">
        <v>0</v>
      </c>
      <c r="G377" s="54">
        <f t="shared" si="98"/>
        <v>0</v>
      </c>
      <c r="H377" s="62">
        <f t="shared" si="104"/>
        <v>0</v>
      </c>
      <c r="I377" s="3">
        <f t="shared" si="102"/>
        <v>0</v>
      </c>
      <c r="J377" s="18">
        <f t="shared" si="103"/>
        <v>0</v>
      </c>
    </row>
    <row r="378" spans="2:10" x14ac:dyDescent="0.35">
      <c r="B378" s="32" t="s">
        <v>2544</v>
      </c>
      <c r="C378" s="5" t="s">
        <v>505</v>
      </c>
      <c r="D378" s="5" t="s">
        <v>506</v>
      </c>
      <c r="E378" s="3">
        <v>0</v>
      </c>
      <c r="F378" s="3">
        <v>0</v>
      </c>
      <c r="G378" s="54">
        <f t="shared" si="98"/>
        <v>0</v>
      </c>
      <c r="H378" s="62">
        <f t="shared" si="104"/>
        <v>0</v>
      </c>
      <c r="I378" s="3">
        <f t="shared" si="102"/>
        <v>0</v>
      </c>
      <c r="J378" s="18">
        <f t="shared" si="103"/>
        <v>0</v>
      </c>
    </row>
    <row r="379" spans="2:10" x14ac:dyDescent="0.35">
      <c r="B379" s="32" t="s">
        <v>2544</v>
      </c>
      <c r="C379" s="5" t="s">
        <v>507</v>
      </c>
      <c r="D379" s="5" t="s">
        <v>242</v>
      </c>
      <c r="E379" s="3">
        <v>0</v>
      </c>
      <c r="F379" s="3">
        <v>0</v>
      </c>
      <c r="G379" s="54">
        <f t="shared" si="98"/>
        <v>0</v>
      </c>
      <c r="H379" s="62">
        <f t="shared" si="104"/>
        <v>0</v>
      </c>
      <c r="I379" s="3">
        <f t="shared" si="102"/>
        <v>0</v>
      </c>
      <c r="J379" s="18">
        <f t="shared" si="103"/>
        <v>0</v>
      </c>
    </row>
    <row r="380" spans="2:10" x14ac:dyDescent="0.35">
      <c r="B380" s="32" t="s">
        <v>2544</v>
      </c>
      <c r="C380" s="5" t="s">
        <v>508</v>
      </c>
      <c r="D380" s="5" t="s">
        <v>2642</v>
      </c>
      <c r="E380" s="3">
        <v>1500</v>
      </c>
      <c r="F380" s="3">
        <v>7747.37</v>
      </c>
      <c r="G380" s="54">
        <f t="shared" si="98"/>
        <v>13281.205714285712</v>
      </c>
      <c r="H380" s="75">
        <v>5000</v>
      </c>
      <c r="I380" s="3">
        <f t="shared" si="102"/>
        <v>5275</v>
      </c>
      <c r="J380" s="18">
        <f t="shared" si="103"/>
        <v>5554.5749999999998</v>
      </c>
    </row>
    <row r="381" spans="2:10" x14ac:dyDescent="0.35">
      <c r="B381" s="32" t="s">
        <v>2544</v>
      </c>
      <c r="C381" s="5" t="s">
        <v>509</v>
      </c>
      <c r="D381" s="5" t="s">
        <v>120</v>
      </c>
      <c r="E381" s="3">
        <v>0</v>
      </c>
      <c r="F381" s="3">
        <v>0</v>
      </c>
      <c r="G381" s="54">
        <f t="shared" si="98"/>
        <v>0</v>
      </c>
      <c r="H381" s="62">
        <f t="shared" si="104"/>
        <v>0</v>
      </c>
      <c r="I381" s="3">
        <f t="shared" si="102"/>
        <v>0</v>
      </c>
      <c r="J381" s="18">
        <f t="shared" si="103"/>
        <v>0</v>
      </c>
    </row>
    <row r="382" spans="2:10" x14ac:dyDescent="0.35">
      <c r="B382" s="32" t="s">
        <v>2544</v>
      </c>
      <c r="C382" s="5" t="s">
        <v>510</v>
      </c>
      <c r="D382" s="5" t="s">
        <v>368</v>
      </c>
      <c r="E382" s="3">
        <v>0</v>
      </c>
      <c r="F382" s="3">
        <v>0</v>
      </c>
      <c r="G382" s="54">
        <f t="shared" si="98"/>
        <v>0</v>
      </c>
      <c r="H382" s="62">
        <f t="shared" si="104"/>
        <v>0</v>
      </c>
      <c r="I382" s="3">
        <f t="shared" si="102"/>
        <v>0</v>
      </c>
      <c r="J382" s="18">
        <f t="shared" si="103"/>
        <v>0</v>
      </c>
    </row>
    <row r="383" spans="2:10" x14ac:dyDescent="0.35">
      <c r="B383" s="32" t="s">
        <v>2544</v>
      </c>
      <c r="C383" s="5" t="s">
        <v>511</v>
      </c>
      <c r="D383" s="5" t="s">
        <v>124</v>
      </c>
      <c r="E383" s="3">
        <v>0</v>
      </c>
      <c r="F383" s="3">
        <v>0</v>
      </c>
      <c r="G383" s="54">
        <f t="shared" si="98"/>
        <v>0</v>
      </c>
      <c r="H383" s="62">
        <f t="shared" si="104"/>
        <v>0</v>
      </c>
      <c r="I383" s="3">
        <f t="shared" si="102"/>
        <v>0</v>
      </c>
      <c r="J383" s="18">
        <f t="shared" si="103"/>
        <v>0</v>
      </c>
    </row>
    <row r="384" spans="2:10" s="8" customFormat="1" x14ac:dyDescent="0.35">
      <c r="B384" s="33" t="s">
        <v>2546</v>
      </c>
      <c r="C384" s="5"/>
      <c r="D384" s="5"/>
      <c r="E384" s="10">
        <f>SUM(E362:E383)</f>
        <v>7500</v>
      </c>
      <c r="F384" s="10">
        <f t="shared" ref="F384:G384" si="105">SUM(F362:F383)</f>
        <v>80578.05</v>
      </c>
      <c r="G384" s="59">
        <f t="shared" si="105"/>
        <v>138133.80000000002</v>
      </c>
      <c r="H384" s="63">
        <f t="shared" ref="H384:J384" si="106">SUM(H362:H383)</f>
        <v>139114.61618285716</v>
      </c>
      <c r="I384" s="10">
        <f t="shared" si="106"/>
        <v>144655.92007291428</v>
      </c>
      <c r="J384" s="22">
        <f t="shared" si="106"/>
        <v>152322.68383677871</v>
      </c>
    </row>
    <row r="385" spans="1:10" s="8" customFormat="1" ht="8.25" customHeight="1" x14ac:dyDescent="0.35">
      <c r="B385" s="23"/>
      <c r="E385" s="39"/>
      <c r="F385" s="39"/>
      <c r="G385" s="39"/>
      <c r="H385" s="68"/>
      <c r="I385" s="39"/>
      <c r="J385" s="40"/>
    </row>
    <row r="386" spans="1:10" s="8" customFormat="1" ht="15" thickBot="1" x14ac:dyDescent="0.4">
      <c r="B386" s="35" t="s">
        <v>2548</v>
      </c>
      <c r="C386" s="25"/>
      <c r="D386" s="25"/>
      <c r="E386" s="26">
        <f>+E360+E384</f>
        <v>2000</v>
      </c>
      <c r="F386" s="26">
        <f t="shared" ref="F386:G386" si="107">+F360+F384</f>
        <v>76276.05</v>
      </c>
      <c r="G386" s="60">
        <f t="shared" si="107"/>
        <v>130758.94285714287</v>
      </c>
      <c r="H386" s="65">
        <f t="shared" ref="H386:J386" si="108">+H360+H384</f>
        <v>131114.61618285716</v>
      </c>
      <c r="I386" s="26">
        <f t="shared" si="108"/>
        <v>136215.92007291428</v>
      </c>
      <c r="J386" s="27">
        <f t="shared" si="108"/>
        <v>143435.36383677871</v>
      </c>
    </row>
    <row r="387" spans="1:10" s="8" customFormat="1" x14ac:dyDescent="0.35">
      <c r="E387" s="9"/>
      <c r="F387" s="9"/>
      <c r="G387" s="9"/>
      <c r="H387" s="9"/>
      <c r="I387" s="9"/>
      <c r="J387" s="9"/>
    </row>
    <row r="388" spans="1:10" s="8" customFormat="1" x14ac:dyDescent="0.35">
      <c r="E388" s="9"/>
      <c r="F388" s="9"/>
      <c r="G388" s="9"/>
      <c r="H388" s="9"/>
      <c r="I388" s="9"/>
      <c r="J388" s="9"/>
    </row>
    <row r="389" spans="1:10" s="8" customFormat="1" ht="15" thickBot="1" x14ac:dyDescent="0.4">
      <c r="A389" s="12" t="s">
        <v>2593</v>
      </c>
      <c r="B389" s="12" t="s">
        <v>2558</v>
      </c>
      <c r="E389" s="9"/>
      <c r="F389" s="9"/>
      <c r="G389" s="9"/>
      <c r="H389" s="9"/>
      <c r="I389" s="9"/>
      <c r="J389" s="9"/>
    </row>
    <row r="390" spans="1:10" x14ac:dyDescent="0.35">
      <c r="B390" s="41" t="s">
        <v>2543</v>
      </c>
      <c r="C390" s="14" t="s">
        <v>512</v>
      </c>
      <c r="D390" s="14" t="s">
        <v>513</v>
      </c>
      <c r="E390" s="15">
        <v>-4000</v>
      </c>
      <c r="F390" s="15">
        <v>-1983.9</v>
      </c>
      <c r="G390" s="58">
        <f t="shared" si="98"/>
        <v>-3400.9714285714285</v>
      </c>
      <c r="H390" s="77">
        <v>-4000</v>
      </c>
      <c r="I390" s="15">
        <f>+H390*1.055</f>
        <v>-4220</v>
      </c>
      <c r="J390" s="16">
        <f>+I390*1.053</f>
        <v>-4443.66</v>
      </c>
    </row>
    <row r="391" spans="1:10" x14ac:dyDescent="0.35">
      <c r="B391" s="42" t="s">
        <v>2543</v>
      </c>
      <c r="C391" s="5" t="s">
        <v>514</v>
      </c>
      <c r="D391" s="5" t="s">
        <v>515</v>
      </c>
      <c r="E391" s="3">
        <v>0</v>
      </c>
      <c r="F391" s="3">
        <v>0</v>
      </c>
      <c r="G391" s="54">
        <f t="shared" si="98"/>
        <v>0</v>
      </c>
      <c r="H391" s="62">
        <f t="shared" ref="H391:H395" si="109">+G391*1.06</f>
        <v>0</v>
      </c>
      <c r="I391" s="3">
        <f t="shared" ref="I391:I395" si="110">+H391*1.055</f>
        <v>0</v>
      </c>
      <c r="J391" s="18">
        <f t="shared" ref="J391:J395" si="111">+I391*1.053</f>
        <v>0</v>
      </c>
    </row>
    <row r="392" spans="1:10" x14ac:dyDescent="0.35">
      <c r="B392" s="42" t="s">
        <v>2543</v>
      </c>
      <c r="C392" s="5" t="s">
        <v>516</v>
      </c>
      <c r="D392" s="5" t="s">
        <v>126</v>
      </c>
      <c r="E392" s="3">
        <v>0</v>
      </c>
      <c r="F392" s="3">
        <v>0</v>
      </c>
      <c r="G392" s="54">
        <f t="shared" si="98"/>
        <v>0</v>
      </c>
      <c r="H392" s="62">
        <f t="shared" si="109"/>
        <v>0</v>
      </c>
      <c r="I392" s="3">
        <f t="shared" si="110"/>
        <v>0</v>
      </c>
      <c r="J392" s="18">
        <f t="shared" si="111"/>
        <v>0</v>
      </c>
    </row>
    <row r="393" spans="1:10" x14ac:dyDescent="0.35">
      <c r="B393" s="42" t="s">
        <v>2543</v>
      </c>
      <c r="C393" s="5" t="s">
        <v>517</v>
      </c>
      <c r="D393" s="5" t="s">
        <v>518</v>
      </c>
      <c r="E393" s="3">
        <v>-20000</v>
      </c>
      <c r="F393" s="3">
        <v>-19569.3</v>
      </c>
      <c r="G393" s="54">
        <f t="shared" si="98"/>
        <v>-33547.371428571423</v>
      </c>
      <c r="H393" s="62">
        <v>-18000</v>
      </c>
      <c r="I393" s="3">
        <f t="shared" si="110"/>
        <v>-18990</v>
      </c>
      <c r="J393" s="18">
        <f t="shared" si="111"/>
        <v>-19996.469999999998</v>
      </c>
    </row>
    <row r="394" spans="1:10" x14ac:dyDescent="0.35">
      <c r="B394" s="42" t="s">
        <v>2543</v>
      </c>
      <c r="C394" s="5" t="s">
        <v>519</v>
      </c>
      <c r="D394" s="5" t="s">
        <v>30</v>
      </c>
      <c r="E394" s="3">
        <v>0</v>
      </c>
      <c r="F394" s="3">
        <v>0</v>
      </c>
      <c r="G394" s="54">
        <f t="shared" si="98"/>
        <v>0</v>
      </c>
      <c r="H394" s="62">
        <f t="shared" si="109"/>
        <v>0</v>
      </c>
      <c r="I394" s="3">
        <f t="shared" si="110"/>
        <v>0</v>
      </c>
      <c r="J394" s="18">
        <f t="shared" si="111"/>
        <v>0</v>
      </c>
    </row>
    <row r="395" spans="1:10" x14ac:dyDescent="0.35">
      <c r="B395" s="42" t="s">
        <v>2543</v>
      </c>
      <c r="C395" s="5" t="s">
        <v>520</v>
      </c>
      <c r="D395" s="5" t="s">
        <v>32</v>
      </c>
      <c r="E395" s="3">
        <v>0</v>
      </c>
      <c r="F395" s="3">
        <v>0</v>
      </c>
      <c r="G395" s="54">
        <f t="shared" si="98"/>
        <v>0</v>
      </c>
      <c r="H395" s="62">
        <f t="shared" si="109"/>
        <v>0</v>
      </c>
      <c r="I395" s="3">
        <f t="shared" si="110"/>
        <v>0</v>
      </c>
      <c r="J395" s="18">
        <f t="shared" si="111"/>
        <v>0</v>
      </c>
    </row>
    <row r="396" spans="1:10" s="8" customFormat="1" x14ac:dyDescent="0.35">
      <c r="B396" s="33" t="s">
        <v>2545</v>
      </c>
      <c r="C396" s="5"/>
      <c r="D396" s="5"/>
      <c r="E396" s="10">
        <f>SUM(E390:E395)</f>
        <v>-24000</v>
      </c>
      <c r="F396" s="10">
        <f t="shared" ref="F396:G396" si="112">SUM(F390:F395)</f>
        <v>-21553.200000000001</v>
      </c>
      <c r="G396" s="59">
        <f t="shared" si="112"/>
        <v>-36948.342857142852</v>
      </c>
      <c r="H396" s="63">
        <f t="shared" ref="H396:J396" si="113">SUM(H390:H395)</f>
        <v>-22000</v>
      </c>
      <c r="I396" s="10">
        <f t="shared" si="113"/>
        <v>-23210</v>
      </c>
      <c r="J396" s="22">
        <f t="shared" si="113"/>
        <v>-24440.129999999997</v>
      </c>
    </row>
    <row r="397" spans="1:10" s="8" customFormat="1" x14ac:dyDescent="0.35">
      <c r="B397" s="23"/>
      <c r="E397" s="9"/>
      <c r="F397" s="9"/>
      <c r="G397" s="9"/>
      <c r="H397" s="64"/>
      <c r="I397" s="9"/>
      <c r="J397" s="21"/>
    </row>
    <row r="398" spans="1:10" x14ac:dyDescent="0.35">
      <c r="B398" s="32" t="s">
        <v>2544</v>
      </c>
      <c r="C398" s="5" t="s">
        <v>521</v>
      </c>
      <c r="D398" s="5" t="s">
        <v>34</v>
      </c>
      <c r="E398" s="3">
        <v>641867</v>
      </c>
      <c r="F398" s="3">
        <f>546940.21-7893.04</f>
        <v>539047.16999999993</v>
      </c>
      <c r="G398" s="54">
        <f t="shared" si="98"/>
        <v>924080.8628571427</v>
      </c>
      <c r="H398" s="62">
        <f>+G398*1.058</f>
        <v>977677.55290285707</v>
      </c>
      <c r="I398" s="3">
        <f>+H398*1.055</f>
        <v>1031449.8183125141</v>
      </c>
      <c r="J398" s="18">
        <f>+I398*1.053</f>
        <v>1086116.6586830772</v>
      </c>
    </row>
    <row r="399" spans="1:10" x14ac:dyDescent="0.35">
      <c r="B399" s="32" t="s">
        <v>2544</v>
      </c>
      <c r="C399" s="5" t="s">
        <v>522</v>
      </c>
      <c r="D399" s="5" t="s">
        <v>36</v>
      </c>
      <c r="E399" s="3">
        <v>53489</v>
      </c>
      <c r="F399" s="3">
        <v>86614.52</v>
      </c>
      <c r="G399" s="54">
        <f t="shared" si="98"/>
        <v>148482.0342857143</v>
      </c>
      <c r="H399" s="62">
        <f t="shared" ref="H399:H410" si="114">+G399*1.058</f>
        <v>157093.99227428573</v>
      </c>
      <c r="I399" s="3">
        <f t="shared" ref="I399:I427" si="115">+H399*1.055</f>
        <v>165734.16184937145</v>
      </c>
      <c r="J399" s="18">
        <f t="shared" ref="J399:J427" si="116">+I399*1.053</f>
        <v>174518.07242738814</v>
      </c>
    </row>
    <row r="400" spans="1:10" x14ac:dyDescent="0.35">
      <c r="B400" s="32" t="s">
        <v>2544</v>
      </c>
      <c r="C400" s="5" t="s">
        <v>523</v>
      </c>
      <c r="D400" s="5" t="s">
        <v>38</v>
      </c>
      <c r="E400" s="3">
        <v>0</v>
      </c>
      <c r="F400" s="3">
        <v>13023.69</v>
      </c>
      <c r="G400" s="54">
        <f t="shared" si="98"/>
        <v>22326.325714285715</v>
      </c>
      <c r="H400" s="62">
        <f t="shared" si="114"/>
        <v>23621.252605714286</v>
      </c>
      <c r="I400" s="3">
        <f t="shared" si="115"/>
        <v>24920.421499028569</v>
      </c>
      <c r="J400" s="18">
        <f t="shared" si="116"/>
        <v>26241.203838477082</v>
      </c>
    </row>
    <row r="401" spans="2:10" x14ac:dyDescent="0.35">
      <c r="B401" s="32" t="s">
        <v>2544</v>
      </c>
      <c r="C401" s="5" t="s">
        <v>524</v>
      </c>
      <c r="D401" s="5" t="s">
        <v>40</v>
      </c>
      <c r="E401" s="3">
        <v>0</v>
      </c>
      <c r="F401" s="3">
        <v>0</v>
      </c>
      <c r="G401" s="54">
        <f t="shared" si="98"/>
        <v>0</v>
      </c>
      <c r="H401" s="62">
        <f t="shared" si="114"/>
        <v>0</v>
      </c>
      <c r="I401" s="3">
        <f t="shared" si="115"/>
        <v>0</v>
      </c>
      <c r="J401" s="18">
        <f t="shared" si="116"/>
        <v>0</v>
      </c>
    </row>
    <row r="402" spans="2:10" x14ac:dyDescent="0.35">
      <c r="B402" s="32" t="s">
        <v>2544</v>
      </c>
      <c r="C402" s="5" t="s">
        <v>525</v>
      </c>
      <c r="D402" s="5" t="s">
        <v>526</v>
      </c>
      <c r="E402" s="3">
        <v>0</v>
      </c>
      <c r="F402" s="3">
        <v>3153.29</v>
      </c>
      <c r="G402" s="54">
        <f t="shared" si="98"/>
        <v>5405.6399999999994</v>
      </c>
      <c r="H402" s="62">
        <f t="shared" si="114"/>
        <v>5719.1671200000001</v>
      </c>
      <c r="I402" s="3">
        <f t="shared" si="115"/>
        <v>6033.7213115999994</v>
      </c>
      <c r="J402" s="18">
        <f t="shared" si="116"/>
        <v>6353.5085411147993</v>
      </c>
    </row>
    <row r="403" spans="2:10" x14ac:dyDescent="0.35">
      <c r="B403" s="32" t="s">
        <v>2544</v>
      </c>
      <c r="C403" s="5" t="s">
        <v>527</v>
      </c>
      <c r="D403" s="5" t="s">
        <v>197</v>
      </c>
      <c r="E403" s="3">
        <v>0</v>
      </c>
      <c r="F403" s="3">
        <v>0</v>
      </c>
      <c r="G403" s="54">
        <f t="shared" si="98"/>
        <v>0</v>
      </c>
      <c r="H403" s="62">
        <f t="shared" si="114"/>
        <v>0</v>
      </c>
      <c r="I403" s="3">
        <f t="shared" si="115"/>
        <v>0</v>
      </c>
      <c r="J403" s="18">
        <f t="shared" si="116"/>
        <v>0</v>
      </c>
    </row>
    <row r="404" spans="2:10" x14ac:dyDescent="0.35">
      <c r="B404" s="32" t="s">
        <v>2544</v>
      </c>
      <c r="C404" s="5" t="s">
        <v>528</v>
      </c>
      <c r="D404" s="5" t="s">
        <v>42</v>
      </c>
      <c r="E404" s="3">
        <v>74483</v>
      </c>
      <c r="F404" s="3">
        <v>66620.47</v>
      </c>
      <c r="G404" s="54">
        <f t="shared" si="98"/>
        <v>114206.52000000002</v>
      </c>
      <c r="H404" s="62">
        <f t="shared" si="114"/>
        <v>120830.49816000003</v>
      </c>
      <c r="I404" s="3">
        <f t="shared" si="115"/>
        <v>127476.17555880002</v>
      </c>
      <c r="J404" s="18">
        <f t="shared" si="116"/>
        <v>134232.41286341642</v>
      </c>
    </row>
    <row r="405" spans="2:10" x14ac:dyDescent="0.35">
      <c r="B405" s="32" t="s">
        <v>2544</v>
      </c>
      <c r="C405" s="5" t="s">
        <v>529</v>
      </c>
      <c r="D405" s="5" t="s">
        <v>44</v>
      </c>
      <c r="E405" s="3">
        <v>6419</v>
      </c>
      <c r="F405" s="3">
        <v>5216.1000000000004</v>
      </c>
      <c r="G405" s="54">
        <f t="shared" si="98"/>
        <v>8941.8857142857159</v>
      </c>
      <c r="H405" s="62">
        <f t="shared" si="114"/>
        <v>9460.5150857142871</v>
      </c>
      <c r="I405" s="3">
        <f t="shared" si="115"/>
        <v>9980.8434154285715</v>
      </c>
      <c r="J405" s="18">
        <f t="shared" si="116"/>
        <v>10509.828116446286</v>
      </c>
    </row>
    <row r="406" spans="2:10" x14ac:dyDescent="0.35">
      <c r="B406" s="32" t="s">
        <v>2544</v>
      </c>
      <c r="C406" s="5" t="s">
        <v>530</v>
      </c>
      <c r="D406" s="5" t="s">
        <v>46</v>
      </c>
      <c r="E406" s="3">
        <v>6419</v>
      </c>
      <c r="F406" s="3">
        <v>423.9</v>
      </c>
      <c r="G406" s="54">
        <f t="shared" si="98"/>
        <v>726.68571428571431</v>
      </c>
      <c r="H406" s="62">
        <f t="shared" si="114"/>
        <v>768.83348571428576</v>
      </c>
      <c r="I406" s="3">
        <f t="shared" si="115"/>
        <v>811.11932742857141</v>
      </c>
      <c r="J406" s="18">
        <f t="shared" si="116"/>
        <v>854.10865178228562</v>
      </c>
    </row>
    <row r="407" spans="2:10" x14ac:dyDescent="0.35">
      <c r="B407" s="32" t="s">
        <v>2544</v>
      </c>
      <c r="C407" s="5" t="s">
        <v>531</v>
      </c>
      <c r="D407" s="5" t="s">
        <v>48</v>
      </c>
      <c r="E407" s="3">
        <v>0</v>
      </c>
      <c r="F407" s="3">
        <v>0</v>
      </c>
      <c r="G407" s="54">
        <f t="shared" si="98"/>
        <v>0</v>
      </c>
      <c r="H407" s="62">
        <f t="shared" si="114"/>
        <v>0</v>
      </c>
      <c r="I407" s="3">
        <f t="shared" si="115"/>
        <v>0</v>
      </c>
      <c r="J407" s="18">
        <f t="shared" si="116"/>
        <v>0</v>
      </c>
    </row>
    <row r="408" spans="2:10" x14ac:dyDescent="0.35">
      <c r="B408" s="32" t="s">
        <v>2544</v>
      </c>
      <c r="C408" s="5" t="s">
        <v>532</v>
      </c>
      <c r="D408" s="5" t="s">
        <v>50</v>
      </c>
      <c r="E408" s="3">
        <v>6419</v>
      </c>
      <c r="F408" s="3">
        <v>4390.8599999999997</v>
      </c>
      <c r="G408" s="54">
        <f t="shared" si="98"/>
        <v>7527.1885714285709</v>
      </c>
      <c r="H408" s="62">
        <f t="shared" si="114"/>
        <v>7963.7655085714287</v>
      </c>
      <c r="I408" s="3">
        <f t="shared" si="115"/>
        <v>8401.7726115428559</v>
      </c>
      <c r="J408" s="18">
        <f t="shared" si="116"/>
        <v>8847.0665599546264</v>
      </c>
    </row>
    <row r="409" spans="2:10" x14ac:dyDescent="0.35">
      <c r="B409" s="32" t="s">
        <v>2544</v>
      </c>
      <c r="C409" s="5" t="s">
        <v>533</v>
      </c>
      <c r="D409" s="5" t="s">
        <v>331</v>
      </c>
      <c r="E409" s="3">
        <v>2971</v>
      </c>
      <c r="F409" s="3">
        <v>0</v>
      </c>
      <c r="G409" s="54">
        <f t="shared" si="98"/>
        <v>0</v>
      </c>
      <c r="H409" s="62">
        <f t="shared" si="114"/>
        <v>0</v>
      </c>
      <c r="I409" s="3">
        <f t="shared" si="115"/>
        <v>0</v>
      </c>
      <c r="J409" s="18">
        <f t="shared" si="116"/>
        <v>0</v>
      </c>
    </row>
    <row r="410" spans="2:10" x14ac:dyDescent="0.35">
      <c r="B410" s="32" t="s">
        <v>2544</v>
      </c>
      <c r="C410" s="5" t="s">
        <v>534</v>
      </c>
      <c r="D410" s="5" t="s">
        <v>52</v>
      </c>
      <c r="E410" s="3">
        <v>0</v>
      </c>
      <c r="F410" s="3">
        <v>20210.46</v>
      </c>
      <c r="G410" s="54">
        <f t="shared" si="98"/>
        <v>34646.502857142856</v>
      </c>
      <c r="H410" s="62">
        <f t="shared" si="114"/>
        <v>36656.000022857144</v>
      </c>
      <c r="I410" s="3">
        <f t="shared" si="115"/>
        <v>38672.080024114286</v>
      </c>
      <c r="J410" s="18">
        <f t="shared" si="116"/>
        <v>40721.700265392341</v>
      </c>
    </row>
    <row r="411" spans="2:10" x14ac:dyDescent="0.35">
      <c r="B411" s="32" t="s">
        <v>2544</v>
      </c>
      <c r="C411" s="5" t="s">
        <v>535</v>
      </c>
      <c r="D411" s="5" t="s">
        <v>64</v>
      </c>
      <c r="E411" s="3">
        <v>0</v>
      </c>
      <c r="F411" s="3">
        <v>0</v>
      </c>
      <c r="G411" s="54">
        <f t="shared" si="98"/>
        <v>0</v>
      </c>
      <c r="H411" s="62">
        <f>+G411*1.06</f>
        <v>0</v>
      </c>
      <c r="I411" s="3">
        <f t="shared" si="115"/>
        <v>0</v>
      </c>
      <c r="J411" s="18">
        <f t="shared" si="116"/>
        <v>0</v>
      </c>
    </row>
    <row r="412" spans="2:10" x14ac:dyDescent="0.35">
      <c r="B412" s="32" t="s">
        <v>2544</v>
      </c>
      <c r="C412" s="5" t="s">
        <v>536</v>
      </c>
      <c r="D412" s="5" t="s">
        <v>66</v>
      </c>
      <c r="E412" s="3">
        <v>0</v>
      </c>
      <c r="F412" s="3">
        <v>0</v>
      </c>
      <c r="G412" s="54">
        <f t="shared" si="98"/>
        <v>0</v>
      </c>
      <c r="H412" s="62">
        <f t="shared" ref="H412:H427" si="117">+G412*1.06</f>
        <v>0</v>
      </c>
      <c r="I412" s="3">
        <f t="shared" si="115"/>
        <v>0</v>
      </c>
      <c r="J412" s="18">
        <f t="shared" si="116"/>
        <v>0</v>
      </c>
    </row>
    <row r="413" spans="2:10" x14ac:dyDescent="0.35">
      <c r="B413" s="32" t="s">
        <v>2544</v>
      </c>
      <c r="C413" s="5" t="s">
        <v>537</v>
      </c>
      <c r="D413" s="5" t="s">
        <v>68</v>
      </c>
      <c r="E413" s="3">
        <v>0</v>
      </c>
      <c r="F413" s="3">
        <v>0</v>
      </c>
      <c r="G413" s="54">
        <f t="shared" si="98"/>
        <v>0</v>
      </c>
      <c r="H413" s="62">
        <f t="shared" si="117"/>
        <v>0</v>
      </c>
      <c r="I413" s="3">
        <f t="shared" si="115"/>
        <v>0</v>
      </c>
      <c r="J413" s="18">
        <f t="shared" si="116"/>
        <v>0</v>
      </c>
    </row>
    <row r="414" spans="2:10" x14ac:dyDescent="0.35">
      <c r="B414" s="32" t="s">
        <v>2544</v>
      </c>
      <c r="C414" s="5" t="s">
        <v>538</v>
      </c>
      <c r="D414" s="5" t="s">
        <v>90</v>
      </c>
      <c r="E414" s="3">
        <v>6000</v>
      </c>
      <c r="F414" s="3">
        <v>6000</v>
      </c>
      <c r="G414" s="54">
        <f t="shared" si="98"/>
        <v>10285.714285714286</v>
      </c>
      <c r="H414" s="62">
        <f t="shared" si="117"/>
        <v>10902.857142857143</v>
      </c>
      <c r="I414" s="3">
        <f t="shared" si="115"/>
        <v>11502.514285714286</v>
      </c>
      <c r="J414" s="18">
        <f t="shared" si="116"/>
        <v>12112.147542857141</v>
      </c>
    </row>
    <row r="415" spans="2:10" x14ac:dyDescent="0.35">
      <c r="B415" s="32" t="s">
        <v>2544</v>
      </c>
      <c r="C415" s="5" t="s">
        <v>539</v>
      </c>
      <c r="D415" s="5" t="s">
        <v>440</v>
      </c>
      <c r="E415" s="3">
        <v>9500</v>
      </c>
      <c r="F415" s="3">
        <v>0</v>
      </c>
      <c r="G415" s="54">
        <f t="shared" si="98"/>
        <v>0</v>
      </c>
      <c r="H415" s="62">
        <f t="shared" si="117"/>
        <v>0</v>
      </c>
      <c r="I415" s="3">
        <f t="shared" si="115"/>
        <v>0</v>
      </c>
      <c r="J415" s="18">
        <f t="shared" si="116"/>
        <v>0</v>
      </c>
    </row>
    <row r="416" spans="2:10" x14ac:dyDescent="0.35">
      <c r="B416" s="32" t="s">
        <v>2544</v>
      </c>
      <c r="C416" s="5" t="s">
        <v>540</v>
      </c>
      <c r="D416" s="5" t="s">
        <v>541</v>
      </c>
      <c r="E416" s="3">
        <v>0</v>
      </c>
      <c r="F416" s="3">
        <v>0</v>
      </c>
      <c r="G416" s="54">
        <f t="shared" si="98"/>
        <v>0</v>
      </c>
      <c r="H416" s="62">
        <f t="shared" si="117"/>
        <v>0</v>
      </c>
      <c r="I416" s="3">
        <f t="shared" si="115"/>
        <v>0</v>
      </c>
      <c r="J416" s="18">
        <f t="shared" si="116"/>
        <v>0</v>
      </c>
    </row>
    <row r="417" spans="2:10" x14ac:dyDescent="0.35">
      <c r="B417" s="32"/>
      <c r="C417" s="5"/>
      <c r="D417" s="5" t="s">
        <v>2657</v>
      </c>
      <c r="E417" s="3"/>
      <c r="F417" s="3"/>
      <c r="G417" s="54"/>
      <c r="H417" s="78">
        <v>80000</v>
      </c>
      <c r="I417" s="3"/>
      <c r="J417" s="18"/>
    </row>
    <row r="418" spans="2:10" x14ac:dyDescent="0.35">
      <c r="B418" s="32" t="s">
        <v>2544</v>
      </c>
      <c r="C418" s="5" t="s">
        <v>542</v>
      </c>
      <c r="D418" s="5" t="s">
        <v>543</v>
      </c>
      <c r="E418" s="3">
        <v>7000</v>
      </c>
      <c r="F418" s="3">
        <v>1250.74</v>
      </c>
      <c r="G418" s="54">
        <f t="shared" si="98"/>
        <v>2144.1257142857144</v>
      </c>
      <c r="H418" s="62">
        <f t="shared" si="117"/>
        <v>2272.7732571428573</v>
      </c>
      <c r="I418" s="3">
        <f t="shared" si="115"/>
        <v>2397.7757862857143</v>
      </c>
      <c r="J418" s="18">
        <f t="shared" si="116"/>
        <v>2524.8579029588568</v>
      </c>
    </row>
    <row r="419" spans="2:10" x14ac:dyDescent="0.35">
      <c r="B419" s="32" t="s">
        <v>2544</v>
      </c>
      <c r="C419" s="5" t="s">
        <v>544</v>
      </c>
      <c r="D419" s="5" t="s">
        <v>238</v>
      </c>
      <c r="E419" s="3">
        <v>0</v>
      </c>
      <c r="F419" s="3">
        <v>0</v>
      </c>
      <c r="G419" s="54">
        <f t="shared" si="98"/>
        <v>0</v>
      </c>
      <c r="H419" s="62">
        <f t="shared" si="117"/>
        <v>0</v>
      </c>
      <c r="I419" s="3">
        <f t="shared" si="115"/>
        <v>0</v>
      </c>
      <c r="J419" s="18">
        <f t="shared" si="116"/>
        <v>0</v>
      </c>
    </row>
    <row r="420" spans="2:10" x14ac:dyDescent="0.35">
      <c r="B420" s="32" t="s">
        <v>2544</v>
      </c>
      <c r="C420" s="5" t="s">
        <v>545</v>
      </c>
      <c r="D420" s="5" t="s">
        <v>240</v>
      </c>
      <c r="E420" s="3">
        <v>0</v>
      </c>
      <c r="F420" s="3">
        <v>0</v>
      </c>
      <c r="G420" s="54">
        <f t="shared" si="98"/>
        <v>0</v>
      </c>
      <c r="H420" s="62">
        <f t="shared" si="117"/>
        <v>0</v>
      </c>
      <c r="I420" s="3">
        <f t="shared" si="115"/>
        <v>0</v>
      </c>
      <c r="J420" s="18">
        <f t="shared" si="116"/>
        <v>0</v>
      </c>
    </row>
    <row r="421" spans="2:10" x14ac:dyDescent="0.35">
      <c r="B421" s="32" t="s">
        <v>2544</v>
      </c>
      <c r="C421" s="5" t="s">
        <v>546</v>
      </c>
      <c r="D421" s="5" t="s">
        <v>417</v>
      </c>
      <c r="E421" s="3">
        <v>35000</v>
      </c>
      <c r="F421" s="3">
        <v>14125.17</v>
      </c>
      <c r="G421" s="54">
        <f t="shared" si="98"/>
        <v>24214.577142857142</v>
      </c>
      <c r="H421" s="62">
        <f t="shared" si="117"/>
        <v>25667.451771428572</v>
      </c>
      <c r="I421" s="3">
        <f t="shared" si="115"/>
        <v>27079.161618857142</v>
      </c>
      <c r="J421" s="18">
        <f t="shared" si="116"/>
        <v>28514.357184656568</v>
      </c>
    </row>
    <row r="422" spans="2:10" x14ac:dyDescent="0.35">
      <c r="B422" s="32" t="s">
        <v>2544</v>
      </c>
      <c r="C422" s="5" t="s">
        <v>547</v>
      </c>
      <c r="D422" s="5" t="s">
        <v>548</v>
      </c>
      <c r="E422" s="3">
        <v>1500</v>
      </c>
      <c r="F422" s="3">
        <v>10282</v>
      </c>
      <c r="G422" s="54">
        <f t="shared" si="98"/>
        <v>17626.285714285714</v>
      </c>
      <c r="H422" s="62">
        <f t="shared" si="117"/>
        <v>18683.862857142856</v>
      </c>
      <c r="I422" s="3">
        <f t="shared" si="115"/>
        <v>19711.475314285712</v>
      </c>
      <c r="J422" s="18">
        <f t="shared" si="116"/>
        <v>20756.183505942852</v>
      </c>
    </row>
    <row r="423" spans="2:10" x14ac:dyDescent="0.35">
      <c r="B423" s="32" t="s">
        <v>2544</v>
      </c>
      <c r="C423" s="5" t="s">
        <v>549</v>
      </c>
      <c r="D423" s="5" t="s">
        <v>465</v>
      </c>
      <c r="E423" s="3">
        <v>0</v>
      </c>
      <c r="F423" s="3">
        <v>0</v>
      </c>
      <c r="G423" s="54">
        <f t="shared" si="98"/>
        <v>0</v>
      </c>
      <c r="H423" s="62">
        <f t="shared" si="117"/>
        <v>0</v>
      </c>
      <c r="I423" s="3">
        <f t="shared" si="115"/>
        <v>0</v>
      </c>
      <c r="J423" s="18">
        <f t="shared" si="116"/>
        <v>0</v>
      </c>
    </row>
    <row r="424" spans="2:10" x14ac:dyDescent="0.35">
      <c r="B424" s="32" t="s">
        <v>2544</v>
      </c>
      <c r="C424" s="5" t="s">
        <v>550</v>
      </c>
      <c r="D424" s="5" t="s">
        <v>120</v>
      </c>
      <c r="E424" s="3">
        <v>0</v>
      </c>
      <c r="F424" s="3">
        <v>0</v>
      </c>
      <c r="G424" s="54">
        <f t="shared" si="98"/>
        <v>0</v>
      </c>
      <c r="H424" s="62">
        <f t="shared" si="117"/>
        <v>0</v>
      </c>
      <c r="I424" s="3">
        <f t="shared" si="115"/>
        <v>0</v>
      </c>
      <c r="J424" s="18">
        <f t="shared" si="116"/>
        <v>0</v>
      </c>
    </row>
    <row r="425" spans="2:10" x14ac:dyDescent="0.35">
      <c r="B425" s="32" t="s">
        <v>2544</v>
      </c>
      <c r="C425" s="5" t="s">
        <v>551</v>
      </c>
      <c r="D425" s="5" t="s">
        <v>420</v>
      </c>
      <c r="E425" s="3">
        <v>0</v>
      </c>
      <c r="F425" s="3">
        <v>0</v>
      </c>
      <c r="G425" s="54">
        <f t="shared" ref="G425:G461" si="118">+F425/7*12</f>
        <v>0</v>
      </c>
      <c r="H425" s="62">
        <f t="shared" si="117"/>
        <v>0</v>
      </c>
      <c r="I425" s="3">
        <f t="shared" si="115"/>
        <v>0</v>
      </c>
      <c r="J425" s="18">
        <f t="shared" si="116"/>
        <v>0</v>
      </c>
    </row>
    <row r="426" spans="2:10" x14ac:dyDescent="0.35">
      <c r="B426" s="32" t="s">
        <v>2544</v>
      </c>
      <c r="C426" s="5" t="s">
        <v>552</v>
      </c>
      <c r="D426" s="5" t="s">
        <v>368</v>
      </c>
      <c r="E426" s="3">
        <v>9273</v>
      </c>
      <c r="F426" s="3">
        <v>5630.64</v>
      </c>
      <c r="G426" s="54">
        <f t="shared" si="118"/>
        <v>9652.5257142857154</v>
      </c>
      <c r="H426" s="62">
        <f t="shared" si="117"/>
        <v>10231.677257142859</v>
      </c>
      <c r="I426" s="3">
        <f t="shared" si="115"/>
        <v>10794.419506285716</v>
      </c>
      <c r="J426" s="18">
        <f t="shared" si="116"/>
        <v>11366.523740118859</v>
      </c>
    </row>
    <row r="427" spans="2:10" x14ac:dyDescent="0.35">
      <c r="B427" s="32" t="s">
        <v>2544</v>
      </c>
      <c r="C427" s="5" t="s">
        <v>553</v>
      </c>
      <c r="D427" s="5" t="s">
        <v>124</v>
      </c>
      <c r="E427" s="3">
        <v>0</v>
      </c>
      <c r="F427" s="3">
        <v>0</v>
      </c>
      <c r="G427" s="54">
        <f t="shared" si="118"/>
        <v>0</v>
      </c>
      <c r="H427" s="62">
        <f t="shared" si="117"/>
        <v>0</v>
      </c>
      <c r="I427" s="3">
        <f t="shared" si="115"/>
        <v>0</v>
      </c>
      <c r="J427" s="18">
        <f t="shared" si="116"/>
        <v>0</v>
      </c>
    </row>
    <row r="428" spans="2:10" s="8" customFormat="1" x14ac:dyDescent="0.35">
      <c r="B428" s="33" t="s">
        <v>2546</v>
      </c>
      <c r="C428" s="5"/>
      <c r="D428" s="5"/>
      <c r="E428" s="10">
        <f>SUM(E398:E427)</f>
        <v>860340</v>
      </c>
      <c r="F428" s="10">
        <f t="shared" ref="F428:G428" si="119">SUM(F398:F427)</f>
        <v>775989.00999999989</v>
      </c>
      <c r="G428" s="59">
        <f t="shared" si="119"/>
        <v>1330266.8742857145</v>
      </c>
      <c r="H428" s="63">
        <f t="shared" ref="H428:J428" si="120">SUM(H398:H427)</f>
        <v>1487550.1994514291</v>
      </c>
      <c r="I428" s="10">
        <f t="shared" si="120"/>
        <v>1484965.4604212572</v>
      </c>
      <c r="J428" s="22">
        <f t="shared" si="120"/>
        <v>1563668.6298235834</v>
      </c>
    </row>
    <row r="429" spans="2:10" s="8" customFormat="1" ht="9.75" customHeight="1" x14ac:dyDescent="0.35">
      <c r="B429" s="23"/>
      <c r="E429" s="39"/>
      <c r="F429" s="39"/>
      <c r="G429" s="39"/>
      <c r="H429" s="68"/>
      <c r="I429" s="39"/>
      <c r="J429" s="40"/>
    </row>
    <row r="430" spans="2:10" s="8" customFormat="1" ht="15" thickBot="1" x14ac:dyDescent="0.4">
      <c r="B430" s="35" t="s">
        <v>2548</v>
      </c>
      <c r="C430" s="25"/>
      <c r="D430" s="25"/>
      <c r="E430" s="26">
        <f>+E396+E428</f>
        <v>836340</v>
      </c>
      <c r="F430" s="26">
        <f t="shared" ref="F430:G430" si="121">+F396+F428</f>
        <v>754435.80999999994</v>
      </c>
      <c r="G430" s="60">
        <f t="shared" si="121"/>
        <v>1293318.5314285716</v>
      </c>
      <c r="H430" s="65">
        <f t="shared" ref="H430:J430" si="122">+H396+H428</f>
        <v>1465550.1994514291</v>
      </c>
      <c r="I430" s="26">
        <f t="shared" si="122"/>
        <v>1461755.4604212572</v>
      </c>
      <c r="J430" s="27">
        <f t="shared" si="122"/>
        <v>1539228.4998235835</v>
      </c>
    </row>
    <row r="431" spans="2:10" s="8" customFormat="1" x14ac:dyDescent="0.35">
      <c r="E431" s="9"/>
      <c r="F431" s="9"/>
      <c r="G431" s="9"/>
      <c r="H431" s="9"/>
      <c r="I431" s="9"/>
      <c r="J431" s="9"/>
    </row>
    <row r="432" spans="2:10" s="8" customFormat="1" x14ac:dyDescent="0.35">
      <c r="E432" s="9"/>
      <c r="F432" s="9"/>
      <c r="G432" s="9"/>
      <c r="H432" s="9"/>
      <c r="I432" s="9"/>
      <c r="J432" s="9"/>
    </row>
    <row r="433" spans="1:10" s="8" customFormat="1" ht="15" thickBot="1" x14ac:dyDescent="0.4">
      <c r="A433" s="12" t="s">
        <v>2590</v>
      </c>
      <c r="B433" s="12" t="s">
        <v>2560</v>
      </c>
      <c r="E433" s="9"/>
      <c r="F433" s="9"/>
      <c r="G433" s="9"/>
      <c r="H433" s="9"/>
      <c r="I433" s="9"/>
      <c r="J433" s="9"/>
    </row>
    <row r="434" spans="1:10" x14ac:dyDescent="0.35">
      <c r="B434" s="41" t="s">
        <v>2543</v>
      </c>
      <c r="C434" s="14" t="s">
        <v>579</v>
      </c>
      <c r="D434" s="14" t="s">
        <v>281</v>
      </c>
      <c r="E434" s="15">
        <v>0</v>
      </c>
      <c r="F434" s="15">
        <v>0</v>
      </c>
      <c r="G434" s="58">
        <f t="shared" si="118"/>
        <v>0</v>
      </c>
      <c r="H434" s="61">
        <f>+G434*1.06</f>
        <v>0</v>
      </c>
      <c r="I434" s="15">
        <f>+H434*1.055</f>
        <v>0</v>
      </c>
      <c r="J434" s="16">
        <f>+I434*1.053</f>
        <v>0</v>
      </c>
    </row>
    <row r="435" spans="1:10" x14ac:dyDescent="0.35">
      <c r="B435" s="42" t="s">
        <v>2543</v>
      </c>
      <c r="C435" s="5" t="s">
        <v>580</v>
      </c>
      <c r="D435" s="5" t="s">
        <v>126</v>
      </c>
      <c r="E435" s="3">
        <v>0</v>
      </c>
      <c r="F435" s="3">
        <f>206.9-456</f>
        <v>-249.1</v>
      </c>
      <c r="G435" s="54">
        <f t="shared" si="118"/>
        <v>-427.02857142857135</v>
      </c>
      <c r="H435" s="62">
        <f t="shared" ref="H435:H441" si="123">+G435*1.06</f>
        <v>-452.65028571428564</v>
      </c>
      <c r="I435" s="3">
        <f t="shared" ref="I435:I441" si="124">+H435*1.055</f>
        <v>-477.54605142857133</v>
      </c>
      <c r="J435" s="18">
        <f t="shared" ref="J435:J441" si="125">+I435*1.053</f>
        <v>-502.85599215428556</v>
      </c>
    </row>
    <row r="436" spans="1:10" x14ac:dyDescent="0.35">
      <c r="B436" s="42" t="s">
        <v>2543</v>
      </c>
      <c r="C436" s="5" t="s">
        <v>581</v>
      </c>
      <c r="D436" s="5" t="s">
        <v>145</v>
      </c>
      <c r="E436" s="3">
        <v>0</v>
      </c>
      <c r="F436" s="3">
        <v>0</v>
      </c>
      <c r="G436" s="54">
        <f t="shared" si="118"/>
        <v>0</v>
      </c>
      <c r="H436" s="62">
        <f t="shared" si="123"/>
        <v>0</v>
      </c>
      <c r="I436" s="3">
        <f t="shared" si="124"/>
        <v>0</v>
      </c>
      <c r="J436" s="18">
        <f t="shared" si="125"/>
        <v>0</v>
      </c>
    </row>
    <row r="437" spans="1:10" x14ac:dyDescent="0.35">
      <c r="B437" s="42" t="s">
        <v>2543</v>
      </c>
      <c r="C437" s="5" t="s">
        <v>582</v>
      </c>
      <c r="D437" s="5" t="s">
        <v>371</v>
      </c>
      <c r="E437" s="3">
        <v>0</v>
      </c>
      <c r="F437" s="3">
        <v>0</v>
      </c>
      <c r="G437" s="54">
        <f t="shared" si="118"/>
        <v>0</v>
      </c>
      <c r="H437" s="62">
        <f t="shared" si="123"/>
        <v>0</v>
      </c>
      <c r="I437" s="3">
        <f t="shared" si="124"/>
        <v>0</v>
      </c>
      <c r="J437" s="18">
        <f t="shared" si="125"/>
        <v>0</v>
      </c>
    </row>
    <row r="438" spans="1:10" x14ac:dyDescent="0.35">
      <c r="B438" s="42" t="s">
        <v>2543</v>
      </c>
      <c r="C438" s="5" t="s">
        <v>583</v>
      </c>
      <c r="D438" s="5" t="s">
        <v>584</v>
      </c>
      <c r="E438" s="3">
        <v>0</v>
      </c>
      <c r="F438" s="3">
        <v>0</v>
      </c>
      <c r="G438" s="54">
        <f t="shared" si="118"/>
        <v>0</v>
      </c>
      <c r="H438" s="62">
        <f t="shared" si="123"/>
        <v>0</v>
      </c>
      <c r="I438" s="3">
        <f t="shared" si="124"/>
        <v>0</v>
      </c>
      <c r="J438" s="18">
        <f t="shared" si="125"/>
        <v>0</v>
      </c>
    </row>
    <row r="439" spans="1:10" x14ac:dyDescent="0.35">
      <c r="B439" s="42" t="s">
        <v>2543</v>
      </c>
      <c r="C439" s="5" t="s">
        <v>585</v>
      </c>
      <c r="D439" s="5" t="s">
        <v>163</v>
      </c>
      <c r="E439" s="3">
        <v>0</v>
      </c>
      <c r="F439" s="3">
        <v>0</v>
      </c>
      <c r="G439" s="54">
        <f t="shared" si="118"/>
        <v>0</v>
      </c>
      <c r="H439" s="62">
        <f t="shared" si="123"/>
        <v>0</v>
      </c>
      <c r="I439" s="3">
        <f t="shared" si="124"/>
        <v>0</v>
      </c>
      <c r="J439" s="18">
        <f t="shared" si="125"/>
        <v>0</v>
      </c>
    </row>
    <row r="440" spans="1:10" x14ac:dyDescent="0.35">
      <c r="B440" s="42" t="s">
        <v>2543</v>
      </c>
      <c r="C440" s="5" t="s">
        <v>586</v>
      </c>
      <c r="D440" s="5" t="s">
        <v>30</v>
      </c>
      <c r="E440" s="3">
        <v>0</v>
      </c>
      <c r="F440" s="3">
        <v>0</v>
      </c>
      <c r="G440" s="54">
        <f t="shared" si="118"/>
        <v>0</v>
      </c>
      <c r="H440" s="62">
        <f t="shared" si="123"/>
        <v>0</v>
      </c>
      <c r="I440" s="3">
        <f t="shared" si="124"/>
        <v>0</v>
      </c>
      <c r="J440" s="18">
        <f t="shared" si="125"/>
        <v>0</v>
      </c>
    </row>
    <row r="441" spans="1:10" x14ac:dyDescent="0.35">
      <c r="B441" s="42" t="s">
        <v>2543</v>
      </c>
      <c r="C441" s="5" t="s">
        <v>587</v>
      </c>
      <c r="D441" s="5" t="s">
        <v>32</v>
      </c>
      <c r="E441" s="3">
        <v>0</v>
      </c>
      <c r="F441" s="3">
        <v>0</v>
      </c>
      <c r="G441" s="54">
        <f t="shared" si="118"/>
        <v>0</v>
      </c>
      <c r="H441" s="62">
        <f t="shared" si="123"/>
        <v>0</v>
      </c>
      <c r="I441" s="3">
        <f t="shared" si="124"/>
        <v>0</v>
      </c>
      <c r="J441" s="18">
        <f t="shared" si="125"/>
        <v>0</v>
      </c>
    </row>
    <row r="442" spans="1:10" s="8" customFormat="1" x14ac:dyDescent="0.35">
      <c r="B442" s="33" t="s">
        <v>2545</v>
      </c>
      <c r="C442" s="5"/>
      <c r="D442" s="5"/>
      <c r="E442" s="10">
        <f>SUM(E434:E441)</f>
        <v>0</v>
      </c>
      <c r="F442" s="10">
        <f t="shared" ref="F442:G442" si="126">SUM(F434:F441)</f>
        <v>-249.1</v>
      </c>
      <c r="G442" s="59">
        <f t="shared" si="126"/>
        <v>-427.02857142857135</v>
      </c>
      <c r="H442" s="63">
        <f t="shared" ref="H442:J442" si="127">SUM(H434:H441)</f>
        <v>-452.65028571428564</v>
      </c>
      <c r="I442" s="10">
        <f t="shared" si="127"/>
        <v>-477.54605142857133</v>
      </c>
      <c r="J442" s="22">
        <f t="shared" si="127"/>
        <v>-502.85599215428556</v>
      </c>
    </row>
    <row r="443" spans="1:10" s="8" customFormat="1" x14ac:dyDescent="0.35">
      <c r="B443" s="23"/>
      <c r="E443" s="9"/>
      <c r="F443" s="9"/>
      <c r="G443" s="9"/>
      <c r="H443" s="64"/>
      <c r="I443" s="9"/>
      <c r="J443" s="21"/>
    </row>
    <row r="444" spans="1:10" x14ac:dyDescent="0.35">
      <c r="B444" s="32" t="s">
        <v>2544</v>
      </c>
      <c r="C444" s="5" t="s">
        <v>588</v>
      </c>
      <c r="D444" s="5" t="s">
        <v>34</v>
      </c>
      <c r="E444" s="3">
        <v>0</v>
      </c>
      <c r="F444" s="3">
        <v>0</v>
      </c>
      <c r="G444" s="54">
        <f t="shared" si="118"/>
        <v>0</v>
      </c>
      <c r="H444" s="62">
        <f>+G444*1.058</f>
        <v>0</v>
      </c>
      <c r="I444" s="3">
        <f>+H444*1.055</f>
        <v>0</v>
      </c>
      <c r="J444" s="18">
        <f>+I444*1.053</f>
        <v>0</v>
      </c>
    </row>
    <row r="445" spans="1:10" x14ac:dyDescent="0.35">
      <c r="B445" s="32" t="s">
        <v>2544</v>
      </c>
      <c r="C445" s="5" t="s">
        <v>589</v>
      </c>
      <c r="D445" s="5" t="s">
        <v>38</v>
      </c>
      <c r="E445" s="3">
        <v>0</v>
      </c>
      <c r="F445" s="3">
        <v>0</v>
      </c>
      <c r="G445" s="54">
        <f t="shared" si="118"/>
        <v>0</v>
      </c>
      <c r="H445" s="62">
        <f t="shared" ref="H445:H446" si="128">+G445*1.058</f>
        <v>0</v>
      </c>
      <c r="I445" s="3">
        <f t="shared" ref="I445:I479" si="129">+H445*1.055</f>
        <v>0</v>
      </c>
      <c r="J445" s="18">
        <f t="shared" ref="J445:J479" si="130">+I445*1.053</f>
        <v>0</v>
      </c>
    </row>
    <row r="446" spans="1:10" x14ac:dyDescent="0.35">
      <c r="B446" s="32" t="s">
        <v>2544</v>
      </c>
      <c r="C446" s="5" t="s">
        <v>590</v>
      </c>
      <c r="D446" s="5" t="s">
        <v>52</v>
      </c>
      <c r="E446" s="3">
        <v>0</v>
      </c>
      <c r="F446" s="3">
        <v>0</v>
      </c>
      <c r="G446" s="54">
        <f t="shared" si="118"/>
        <v>0</v>
      </c>
      <c r="H446" s="62">
        <f t="shared" si="128"/>
        <v>0</v>
      </c>
      <c r="I446" s="3">
        <f t="shared" si="129"/>
        <v>0</v>
      </c>
      <c r="J446" s="18">
        <f t="shared" si="130"/>
        <v>0</v>
      </c>
    </row>
    <row r="447" spans="1:10" x14ac:dyDescent="0.35">
      <c r="B447" s="32" t="s">
        <v>2544</v>
      </c>
      <c r="C447" s="5" t="s">
        <v>591</v>
      </c>
      <c r="D447" s="5" t="s">
        <v>64</v>
      </c>
      <c r="E447" s="3">
        <v>0</v>
      </c>
      <c r="F447" s="3">
        <v>0</v>
      </c>
      <c r="G447" s="54">
        <f t="shared" si="118"/>
        <v>0</v>
      </c>
      <c r="H447" s="62">
        <f>+G447*1.06</f>
        <v>0</v>
      </c>
      <c r="I447" s="3">
        <f t="shared" si="129"/>
        <v>0</v>
      </c>
      <c r="J447" s="18">
        <f t="shared" si="130"/>
        <v>0</v>
      </c>
    </row>
    <row r="448" spans="1:10" x14ac:dyDescent="0.35">
      <c r="B448" s="32" t="s">
        <v>2544</v>
      </c>
      <c r="C448" s="5" t="s">
        <v>592</v>
      </c>
      <c r="D448" s="5" t="s">
        <v>66</v>
      </c>
      <c r="E448" s="3">
        <v>0</v>
      </c>
      <c r="F448" s="3">
        <v>0</v>
      </c>
      <c r="G448" s="54">
        <f t="shared" si="118"/>
        <v>0</v>
      </c>
      <c r="H448" s="62">
        <f t="shared" ref="H448:H479" si="131">+G448*1.06</f>
        <v>0</v>
      </c>
      <c r="I448" s="3">
        <f t="shared" si="129"/>
        <v>0</v>
      </c>
      <c r="J448" s="18">
        <f t="shared" si="130"/>
        <v>0</v>
      </c>
    </row>
    <row r="449" spans="2:10" x14ac:dyDescent="0.35">
      <c r="B449" s="32" t="s">
        <v>2544</v>
      </c>
      <c r="C449" s="5" t="s">
        <v>593</v>
      </c>
      <c r="D449" s="5" t="s">
        <v>68</v>
      </c>
      <c r="E449" s="3">
        <v>0</v>
      </c>
      <c r="F449" s="3">
        <v>0</v>
      </c>
      <c r="G449" s="54">
        <f t="shared" si="118"/>
        <v>0</v>
      </c>
      <c r="H449" s="62">
        <f t="shared" si="131"/>
        <v>0</v>
      </c>
      <c r="I449" s="3">
        <f t="shared" si="129"/>
        <v>0</v>
      </c>
      <c r="J449" s="18">
        <f t="shared" si="130"/>
        <v>0</v>
      </c>
    </row>
    <row r="450" spans="2:10" x14ac:dyDescent="0.35">
      <c r="B450" s="32" t="s">
        <v>2544</v>
      </c>
      <c r="C450" s="5" t="s">
        <v>594</v>
      </c>
      <c r="D450" s="5" t="s">
        <v>595</v>
      </c>
      <c r="E450" s="3">
        <v>0</v>
      </c>
      <c r="F450" s="3">
        <v>0</v>
      </c>
      <c r="G450" s="54">
        <f t="shared" si="118"/>
        <v>0</v>
      </c>
      <c r="H450" s="62">
        <f t="shared" si="131"/>
        <v>0</v>
      </c>
      <c r="I450" s="3">
        <f t="shared" si="129"/>
        <v>0</v>
      </c>
      <c r="J450" s="18">
        <f t="shared" si="130"/>
        <v>0</v>
      </c>
    </row>
    <row r="451" spans="2:10" x14ac:dyDescent="0.35">
      <c r="B451" s="32" t="s">
        <v>2544</v>
      </c>
      <c r="C451" s="5" t="s">
        <v>596</v>
      </c>
      <c r="D451" s="5" t="s">
        <v>597</v>
      </c>
      <c r="E451" s="3">
        <v>30000</v>
      </c>
      <c r="F451" s="3">
        <v>0</v>
      </c>
      <c r="G451" s="54">
        <f t="shared" si="118"/>
        <v>0</v>
      </c>
      <c r="H451" s="62">
        <f t="shared" si="131"/>
        <v>0</v>
      </c>
      <c r="I451" s="3">
        <f t="shared" si="129"/>
        <v>0</v>
      </c>
      <c r="J451" s="18">
        <f t="shared" si="130"/>
        <v>0</v>
      </c>
    </row>
    <row r="452" spans="2:10" x14ac:dyDescent="0.35">
      <c r="B452" s="32" t="s">
        <v>2544</v>
      </c>
      <c r="C452" s="5" t="s">
        <v>598</v>
      </c>
      <c r="D452" s="5" t="s">
        <v>599</v>
      </c>
      <c r="E452" s="3">
        <v>0</v>
      </c>
      <c r="F452" s="3">
        <v>0</v>
      </c>
      <c r="G452" s="54">
        <f t="shared" si="118"/>
        <v>0</v>
      </c>
      <c r="H452" s="62">
        <f t="shared" si="131"/>
        <v>0</v>
      </c>
      <c r="I452" s="3">
        <f t="shared" si="129"/>
        <v>0</v>
      </c>
      <c r="J452" s="18">
        <f t="shared" si="130"/>
        <v>0</v>
      </c>
    </row>
    <row r="453" spans="2:10" x14ac:dyDescent="0.35">
      <c r="B453" s="32" t="s">
        <v>2544</v>
      </c>
      <c r="C453" s="5" t="s">
        <v>600</v>
      </c>
      <c r="D453" s="5" t="s">
        <v>601</v>
      </c>
      <c r="E453" s="3">
        <v>30000</v>
      </c>
      <c r="F453" s="3">
        <v>0</v>
      </c>
      <c r="G453" s="54">
        <f t="shared" si="118"/>
        <v>0</v>
      </c>
      <c r="H453" s="62">
        <f t="shared" si="131"/>
        <v>0</v>
      </c>
      <c r="I453" s="3">
        <f t="shared" si="129"/>
        <v>0</v>
      </c>
      <c r="J453" s="18">
        <f t="shared" si="130"/>
        <v>0</v>
      </c>
    </row>
    <row r="454" spans="2:10" x14ac:dyDescent="0.35">
      <c r="B454" s="32" t="s">
        <v>2544</v>
      </c>
      <c r="C454" s="5" t="s">
        <v>602</v>
      </c>
      <c r="D454" s="5" t="s">
        <v>603</v>
      </c>
      <c r="E454" s="3">
        <v>15000</v>
      </c>
      <c r="F454" s="3">
        <v>0</v>
      </c>
      <c r="G454" s="54">
        <f t="shared" si="118"/>
        <v>0</v>
      </c>
      <c r="H454" s="62">
        <f t="shared" si="131"/>
        <v>0</v>
      </c>
      <c r="I454" s="3">
        <f t="shared" si="129"/>
        <v>0</v>
      </c>
      <c r="J454" s="18">
        <f t="shared" si="130"/>
        <v>0</v>
      </c>
    </row>
    <row r="455" spans="2:10" x14ac:dyDescent="0.35">
      <c r="B455" s="32" t="s">
        <v>2544</v>
      </c>
      <c r="C455" s="5" t="s">
        <v>604</v>
      </c>
      <c r="D455" s="5" t="s">
        <v>605</v>
      </c>
      <c r="E455" s="3">
        <v>0</v>
      </c>
      <c r="F455" s="3">
        <v>0</v>
      </c>
      <c r="G455" s="54">
        <f t="shared" si="118"/>
        <v>0</v>
      </c>
      <c r="H455" s="62">
        <f t="shared" si="131"/>
        <v>0</v>
      </c>
      <c r="I455" s="3">
        <f t="shared" si="129"/>
        <v>0</v>
      </c>
      <c r="J455" s="18">
        <f t="shared" si="130"/>
        <v>0</v>
      </c>
    </row>
    <row r="456" spans="2:10" x14ac:dyDescent="0.35">
      <c r="B456" s="32" t="s">
        <v>2544</v>
      </c>
      <c r="C456" s="5" t="s">
        <v>606</v>
      </c>
      <c r="D456" s="5" t="s">
        <v>92</v>
      </c>
      <c r="E456" s="3">
        <v>0</v>
      </c>
      <c r="F456" s="3">
        <v>0</v>
      </c>
      <c r="G456" s="54">
        <f t="shared" si="118"/>
        <v>0</v>
      </c>
      <c r="H456" s="62">
        <f t="shared" si="131"/>
        <v>0</v>
      </c>
      <c r="I456" s="3">
        <f t="shared" si="129"/>
        <v>0</v>
      </c>
      <c r="J456" s="18">
        <f t="shared" si="130"/>
        <v>0</v>
      </c>
    </row>
    <row r="457" spans="2:10" x14ac:dyDescent="0.35">
      <c r="B457" s="32" t="s">
        <v>2544</v>
      </c>
      <c r="C457" s="5" t="s">
        <v>607</v>
      </c>
      <c r="D457" s="5" t="s">
        <v>94</v>
      </c>
      <c r="E457" s="3">
        <v>0</v>
      </c>
      <c r="F457" s="3">
        <v>0</v>
      </c>
      <c r="G457" s="54">
        <f t="shared" si="118"/>
        <v>0</v>
      </c>
      <c r="H457" s="62">
        <f t="shared" si="131"/>
        <v>0</v>
      </c>
      <c r="I457" s="3">
        <f t="shared" si="129"/>
        <v>0</v>
      </c>
      <c r="J457" s="18">
        <f t="shared" si="130"/>
        <v>0</v>
      </c>
    </row>
    <row r="458" spans="2:10" x14ac:dyDescent="0.35">
      <c r="B458" s="32" t="s">
        <v>2544</v>
      </c>
      <c r="C458" s="5" t="s">
        <v>608</v>
      </c>
      <c r="D458" s="5" t="s">
        <v>344</v>
      </c>
      <c r="E458" s="3">
        <v>0</v>
      </c>
      <c r="F458" s="3">
        <v>0</v>
      </c>
      <c r="G458" s="54">
        <f t="shared" si="118"/>
        <v>0</v>
      </c>
      <c r="H458" s="62">
        <f t="shared" si="131"/>
        <v>0</v>
      </c>
      <c r="I458" s="3">
        <f t="shared" si="129"/>
        <v>0</v>
      </c>
      <c r="J458" s="18">
        <f t="shared" si="130"/>
        <v>0</v>
      </c>
    </row>
    <row r="459" spans="2:10" x14ac:dyDescent="0.35">
      <c r="B459" s="32" t="s">
        <v>2544</v>
      </c>
      <c r="C459" s="5" t="s">
        <v>609</v>
      </c>
      <c r="D459" s="5" t="s">
        <v>223</v>
      </c>
      <c r="E459" s="3">
        <v>0</v>
      </c>
      <c r="F459" s="3">
        <v>0</v>
      </c>
      <c r="G459" s="54">
        <f t="shared" si="118"/>
        <v>0</v>
      </c>
      <c r="H459" s="62">
        <f t="shared" si="131"/>
        <v>0</v>
      </c>
      <c r="I459" s="3">
        <f t="shared" si="129"/>
        <v>0</v>
      </c>
      <c r="J459" s="18">
        <f t="shared" si="130"/>
        <v>0</v>
      </c>
    </row>
    <row r="460" spans="2:10" x14ac:dyDescent="0.35">
      <c r="B460" s="32" t="s">
        <v>2544</v>
      </c>
      <c r="C460" s="5" t="s">
        <v>610</v>
      </c>
      <c r="D460" s="5" t="s">
        <v>351</v>
      </c>
      <c r="E460" s="3">
        <v>0</v>
      </c>
      <c r="F460" s="3">
        <v>0</v>
      </c>
      <c r="G460" s="54">
        <f t="shared" si="118"/>
        <v>0</v>
      </c>
      <c r="H460" s="62">
        <f t="shared" si="131"/>
        <v>0</v>
      </c>
      <c r="I460" s="3">
        <f t="shared" si="129"/>
        <v>0</v>
      </c>
      <c r="J460" s="18">
        <f t="shared" si="130"/>
        <v>0</v>
      </c>
    </row>
    <row r="461" spans="2:10" x14ac:dyDescent="0.35">
      <c r="B461" s="32" t="s">
        <v>2544</v>
      </c>
      <c r="C461" s="5" t="s">
        <v>611</v>
      </c>
      <c r="D461" s="5" t="s">
        <v>98</v>
      </c>
      <c r="E461" s="3">
        <v>0</v>
      </c>
      <c r="F461" s="3">
        <v>16748.7</v>
      </c>
      <c r="G461" s="54">
        <f t="shared" si="118"/>
        <v>28712.057142857146</v>
      </c>
      <c r="H461" s="62">
        <f t="shared" si="131"/>
        <v>30434.780571428575</v>
      </c>
      <c r="I461" s="3">
        <f t="shared" si="129"/>
        <v>32108.693502857146</v>
      </c>
      <c r="J461" s="18">
        <f t="shared" si="130"/>
        <v>33810.454258508573</v>
      </c>
    </row>
    <row r="462" spans="2:10" x14ac:dyDescent="0.35">
      <c r="B462" s="32" t="s">
        <v>2544</v>
      </c>
      <c r="C462" s="5" t="s">
        <v>612</v>
      </c>
      <c r="D462" s="5" t="s">
        <v>613</v>
      </c>
      <c r="E462" s="3">
        <v>0</v>
      </c>
      <c r="F462" s="3">
        <v>0</v>
      </c>
      <c r="G462" s="54">
        <f t="shared" ref="G462:G518" si="132">+F462/7*12</f>
        <v>0</v>
      </c>
      <c r="H462" s="62">
        <f t="shared" si="131"/>
        <v>0</v>
      </c>
      <c r="I462" s="3">
        <f t="shared" si="129"/>
        <v>0</v>
      </c>
      <c r="J462" s="18">
        <f t="shared" si="130"/>
        <v>0</v>
      </c>
    </row>
    <row r="463" spans="2:10" x14ac:dyDescent="0.35">
      <c r="B463" s="32" t="s">
        <v>2544</v>
      </c>
      <c r="C463" s="5" t="s">
        <v>614</v>
      </c>
      <c r="D463" s="5" t="s">
        <v>615</v>
      </c>
      <c r="E463" s="3">
        <v>0</v>
      </c>
      <c r="F463" s="3">
        <v>0</v>
      </c>
      <c r="G463" s="54">
        <f t="shared" si="132"/>
        <v>0</v>
      </c>
      <c r="H463" s="62">
        <f t="shared" si="131"/>
        <v>0</v>
      </c>
      <c r="I463" s="3">
        <f t="shared" si="129"/>
        <v>0</v>
      </c>
      <c r="J463" s="18">
        <f t="shared" si="130"/>
        <v>0</v>
      </c>
    </row>
    <row r="464" spans="2:10" x14ac:dyDescent="0.35">
      <c r="B464" s="32" t="s">
        <v>2544</v>
      </c>
      <c r="C464" s="5" t="s">
        <v>616</v>
      </c>
      <c r="D464" s="5" t="s">
        <v>617</v>
      </c>
      <c r="E464" s="3">
        <v>0</v>
      </c>
      <c r="F464" s="3">
        <v>0</v>
      </c>
      <c r="G464" s="54">
        <f t="shared" si="132"/>
        <v>0</v>
      </c>
      <c r="H464" s="62">
        <f t="shared" si="131"/>
        <v>0</v>
      </c>
      <c r="I464" s="3">
        <f t="shared" si="129"/>
        <v>0</v>
      </c>
      <c r="J464" s="18">
        <f t="shared" si="130"/>
        <v>0</v>
      </c>
    </row>
    <row r="465" spans="2:10" x14ac:dyDescent="0.35">
      <c r="B465" s="32" t="s">
        <v>2544</v>
      </c>
      <c r="C465" s="5" t="s">
        <v>618</v>
      </c>
      <c r="D465" s="5" t="s">
        <v>619</v>
      </c>
      <c r="E465" s="3">
        <v>0</v>
      </c>
      <c r="F465" s="3">
        <v>0</v>
      </c>
      <c r="G465" s="54">
        <f t="shared" si="132"/>
        <v>0</v>
      </c>
      <c r="H465" s="62">
        <f t="shared" si="131"/>
        <v>0</v>
      </c>
      <c r="I465" s="3">
        <f t="shared" si="129"/>
        <v>0</v>
      </c>
      <c r="J465" s="18">
        <f t="shared" si="130"/>
        <v>0</v>
      </c>
    </row>
    <row r="466" spans="2:10" x14ac:dyDescent="0.35">
      <c r="B466" s="32" t="s">
        <v>2544</v>
      </c>
      <c r="C466" s="5" t="s">
        <v>620</v>
      </c>
      <c r="D466" s="5" t="s">
        <v>621</v>
      </c>
      <c r="E466" s="3">
        <v>0</v>
      </c>
      <c r="F466" s="3">
        <v>0</v>
      </c>
      <c r="G466" s="54">
        <f t="shared" si="132"/>
        <v>0</v>
      </c>
      <c r="H466" s="62">
        <f t="shared" si="131"/>
        <v>0</v>
      </c>
      <c r="I466" s="3">
        <f t="shared" si="129"/>
        <v>0</v>
      </c>
      <c r="J466" s="18">
        <f t="shared" si="130"/>
        <v>0</v>
      </c>
    </row>
    <row r="467" spans="2:10" x14ac:dyDescent="0.35">
      <c r="B467" s="32" t="s">
        <v>2544</v>
      </c>
      <c r="C467" s="5" t="s">
        <v>622</v>
      </c>
      <c r="D467" s="5" t="s">
        <v>303</v>
      </c>
      <c r="E467" s="3">
        <v>0</v>
      </c>
      <c r="F467" s="3">
        <v>0</v>
      </c>
      <c r="G467" s="54">
        <f t="shared" si="132"/>
        <v>0</v>
      </c>
      <c r="H467" s="62">
        <f t="shared" si="131"/>
        <v>0</v>
      </c>
      <c r="I467" s="3">
        <f t="shared" si="129"/>
        <v>0</v>
      </c>
      <c r="J467" s="18">
        <f t="shared" si="130"/>
        <v>0</v>
      </c>
    </row>
    <row r="468" spans="2:10" x14ac:dyDescent="0.35">
      <c r="B468" s="32" t="s">
        <v>2544</v>
      </c>
      <c r="C468" s="5" t="s">
        <v>623</v>
      </c>
      <c r="D468" s="5" t="s">
        <v>624</v>
      </c>
      <c r="E468" s="3">
        <v>0</v>
      </c>
      <c r="F468" s="3">
        <v>285</v>
      </c>
      <c r="G468" s="54">
        <f t="shared" si="132"/>
        <v>488.57142857142856</v>
      </c>
      <c r="H468" s="62">
        <f t="shared" si="131"/>
        <v>517.88571428571424</v>
      </c>
      <c r="I468" s="3">
        <f t="shared" si="129"/>
        <v>546.36942857142844</v>
      </c>
      <c r="J468" s="18">
        <f t="shared" si="130"/>
        <v>575.3270082857141</v>
      </c>
    </row>
    <row r="469" spans="2:10" x14ac:dyDescent="0.35">
      <c r="B469" s="32" t="s">
        <v>2544</v>
      </c>
      <c r="C469" s="5" t="s">
        <v>625</v>
      </c>
      <c r="D469" s="5" t="s">
        <v>626</v>
      </c>
      <c r="E469" s="3">
        <v>0</v>
      </c>
      <c r="F469" s="3">
        <v>0</v>
      </c>
      <c r="G469" s="54">
        <f t="shared" si="132"/>
        <v>0</v>
      </c>
      <c r="H469" s="62">
        <f t="shared" si="131"/>
        <v>0</v>
      </c>
      <c r="I469" s="3">
        <f t="shared" si="129"/>
        <v>0</v>
      </c>
      <c r="J469" s="18">
        <f t="shared" si="130"/>
        <v>0</v>
      </c>
    </row>
    <row r="470" spans="2:10" x14ac:dyDescent="0.35">
      <c r="B470" s="32" t="s">
        <v>2544</v>
      </c>
      <c r="C470" s="5" t="s">
        <v>627</v>
      </c>
      <c r="D470" s="5" t="s">
        <v>628</v>
      </c>
      <c r="E470" s="3">
        <v>0</v>
      </c>
      <c r="F470" s="3">
        <v>0</v>
      </c>
      <c r="G470" s="54">
        <f t="shared" si="132"/>
        <v>0</v>
      </c>
      <c r="H470" s="62">
        <f t="shared" si="131"/>
        <v>0</v>
      </c>
      <c r="I470" s="3">
        <f t="shared" si="129"/>
        <v>0</v>
      </c>
      <c r="J470" s="18">
        <f t="shared" si="130"/>
        <v>0</v>
      </c>
    </row>
    <row r="471" spans="2:10" x14ac:dyDescent="0.35">
      <c r="B471" s="32" t="s">
        <v>2544</v>
      </c>
      <c r="C471" s="5" t="s">
        <v>629</v>
      </c>
      <c r="D471" s="5" t="s">
        <v>630</v>
      </c>
      <c r="E471" s="3">
        <v>0</v>
      </c>
      <c r="F471" s="3">
        <v>0</v>
      </c>
      <c r="G471" s="54">
        <f t="shared" si="132"/>
        <v>0</v>
      </c>
      <c r="H471" s="62">
        <f t="shared" si="131"/>
        <v>0</v>
      </c>
      <c r="I471" s="3">
        <f t="shared" si="129"/>
        <v>0</v>
      </c>
      <c r="J471" s="18">
        <f t="shared" si="130"/>
        <v>0</v>
      </c>
    </row>
    <row r="472" spans="2:10" x14ac:dyDescent="0.35">
      <c r="B472" s="32" t="s">
        <v>2544</v>
      </c>
      <c r="C472" s="5" t="s">
        <v>631</v>
      </c>
      <c r="D472" s="5" t="s">
        <v>632</v>
      </c>
      <c r="E472" s="3">
        <v>0</v>
      </c>
      <c r="F472" s="3">
        <v>0</v>
      </c>
      <c r="G472" s="54">
        <f t="shared" si="132"/>
        <v>0</v>
      </c>
      <c r="H472" s="62">
        <f t="shared" si="131"/>
        <v>0</v>
      </c>
      <c r="I472" s="3">
        <f t="shared" si="129"/>
        <v>0</v>
      </c>
      <c r="J472" s="18">
        <f t="shared" si="130"/>
        <v>0</v>
      </c>
    </row>
    <row r="473" spans="2:10" x14ac:dyDescent="0.35">
      <c r="B473" s="32" t="s">
        <v>2544</v>
      </c>
      <c r="C473" s="5" t="s">
        <v>633</v>
      </c>
      <c r="D473" s="5" t="s">
        <v>634</v>
      </c>
      <c r="E473" s="3">
        <v>0</v>
      </c>
      <c r="F473" s="3">
        <v>0</v>
      </c>
      <c r="G473" s="54">
        <f t="shared" si="132"/>
        <v>0</v>
      </c>
      <c r="H473" s="62">
        <f t="shared" si="131"/>
        <v>0</v>
      </c>
      <c r="I473" s="3">
        <f t="shared" si="129"/>
        <v>0</v>
      </c>
      <c r="J473" s="18">
        <f t="shared" si="130"/>
        <v>0</v>
      </c>
    </row>
    <row r="474" spans="2:10" x14ac:dyDescent="0.35">
      <c r="B474" s="32" t="s">
        <v>2544</v>
      </c>
      <c r="C474" s="5" t="s">
        <v>635</v>
      </c>
      <c r="D474" s="5" t="s">
        <v>636</v>
      </c>
      <c r="E474" s="3">
        <v>0</v>
      </c>
      <c r="F474" s="3">
        <v>0</v>
      </c>
      <c r="G474" s="54">
        <f t="shared" si="132"/>
        <v>0</v>
      </c>
      <c r="H474" s="62">
        <f t="shared" si="131"/>
        <v>0</v>
      </c>
      <c r="I474" s="3">
        <f t="shared" si="129"/>
        <v>0</v>
      </c>
      <c r="J474" s="18">
        <f t="shared" si="130"/>
        <v>0</v>
      </c>
    </row>
    <row r="475" spans="2:10" x14ac:dyDescent="0.35">
      <c r="B475" s="32" t="s">
        <v>2544</v>
      </c>
      <c r="C475" s="5" t="s">
        <v>637</v>
      </c>
      <c r="D475" s="5" t="s">
        <v>638</v>
      </c>
      <c r="E475" s="3">
        <v>0</v>
      </c>
      <c r="F475" s="3">
        <v>0</v>
      </c>
      <c r="G475" s="54">
        <f t="shared" si="132"/>
        <v>0</v>
      </c>
      <c r="H475" s="62">
        <f t="shared" si="131"/>
        <v>0</v>
      </c>
      <c r="I475" s="3">
        <f t="shared" si="129"/>
        <v>0</v>
      </c>
      <c r="J475" s="18">
        <f t="shared" si="130"/>
        <v>0</v>
      </c>
    </row>
    <row r="476" spans="2:10" x14ac:dyDescent="0.35">
      <c r="B476" s="32" t="s">
        <v>2544</v>
      </c>
      <c r="C476" s="5" t="s">
        <v>639</v>
      </c>
      <c r="D476" s="5" t="s">
        <v>640</v>
      </c>
      <c r="E476" s="3">
        <v>0</v>
      </c>
      <c r="F476" s="3">
        <v>0</v>
      </c>
      <c r="G476" s="54">
        <f t="shared" si="132"/>
        <v>0</v>
      </c>
      <c r="H476" s="62">
        <f t="shared" si="131"/>
        <v>0</v>
      </c>
      <c r="I476" s="3">
        <f t="shared" si="129"/>
        <v>0</v>
      </c>
      <c r="J476" s="18">
        <f t="shared" si="130"/>
        <v>0</v>
      </c>
    </row>
    <row r="477" spans="2:10" x14ac:dyDescent="0.35">
      <c r="B477" s="32" t="s">
        <v>2544</v>
      </c>
      <c r="C477" s="5" t="s">
        <v>641</v>
      </c>
      <c r="D477" s="5" t="s">
        <v>120</v>
      </c>
      <c r="E477" s="3">
        <v>0</v>
      </c>
      <c r="F477" s="3">
        <v>0</v>
      </c>
      <c r="G477" s="54">
        <f t="shared" si="132"/>
        <v>0</v>
      </c>
      <c r="H477" s="62">
        <f t="shared" si="131"/>
        <v>0</v>
      </c>
      <c r="I477" s="3">
        <f t="shared" si="129"/>
        <v>0</v>
      </c>
      <c r="J477" s="18">
        <f t="shared" si="130"/>
        <v>0</v>
      </c>
    </row>
    <row r="478" spans="2:10" x14ac:dyDescent="0.35">
      <c r="B478" s="32" t="s">
        <v>2544</v>
      </c>
      <c r="C478" s="5" t="s">
        <v>642</v>
      </c>
      <c r="D478" s="5" t="s">
        <v>122</v>
      </c>
      <c r="E478" s="3">
        <v>0</v>
      </c>
      <c r="F478" s="3">
        <v>0</v>
      </c>
      <c r="G478" s="54">
        <f t="shared" si="132"/>
        <v>0</v>
      </c>
      <c r="H478" s="62">
        <f t="shared" si="131"/>
        <v>0</v>
      </c>
      <c r="I478" s="3">
        <f t="shared" si="129"/>
        <v>0</v>
      </c>
      <c r="J478" s="18">
        <f t="shared" si="130"/>
        <v>0</v>
      </c>
    </row>
    <row r="479" spans="2:10" x14ac:dyDescent="0.35">
      <c r="B479" s="32" t="s">
        <v>2544</v>
      </c>
      <c r="C479" s="5" t="s">
        <v>643</v>
      </c>
      <c r="D479" s="5" t="s">
        <v>124</v>
      </c>
      <c r="E479" s="3">
        <v>0</v>
      </c>
      <c r="F479" s="3">
        <v>0</v>
      </c>
      <c r="G479" s="54">
        <f t="shared" si="132"/>
        <v>0</v>
      </c>
      <c r="H479" s="62">
        <f t="shared" si="131"/>
        <v>0</v>
      </c>
      <c r="I479" s="3">
        <f t="shared" si="129"/>
        <v>0</v>
      </c>
      <c r="J479" s="18">
        <f t="shared" si="130"/>
        <v>0</v>
      </c>
    </row>
    <row r="480" spans="2:10" s="8" customFormat="1" x14ac:dyDescent="0.35">
      <c r="B480" s="33" t="s">
        <v>2546</v>
      </c>
      <c r="C480" s="5"/>
      <c r="D480" s="5"/>
      <c r="E480" s="10">
        <f>SUM(E444:E479)</f>
        <v>75000</v>
      </c>
      <c r="F480" s="10">
        <f t="shared" ref="F480:G480" si="133">SUM(F444:F479)</f>
        <v>17033.7</v>
      </c>
      <c r="G480" s="59">
        <f t="shared" si="133"/>
        <v>29200.628571428573</v>
      </c>
      <c r="H480" s="63">
        <f t="shared" ref="H480:J480" si="134">SUM(H444:H479)</f>
        <v>30952.666285714291</v>
      </c>
      <c r="I480" s="10">
        <f t="shared" si="134"/>
        <v>32655.062931428576</v>
      </c>
      <c r="J480" s="22">
        <f t="shared" si="134"/>
        <v>34385.781266794285</v>
      </c>
    </row>
    <row r="481" spans="1:10" s="8" customFormat="1" ht="9" customHeight="1" x14ac:dyDescent="0.35">
      <c r="B481" s="23"/>
      <c r="E481" s="39"/>
      <c r="F481" s="39"/>
      <c r="G481" s="39"/>
      <c r="H481" s="68"/>
      <c r="I481" s="39"/>
      <c r="J481" s="40"/>
    </row>
    <row r="482" spans="1:10" s="8" customFormat="1" ht="15" thickBot="1" x14ac:dyDescent="0.4">
      <c r="B482" s="35" t="s">
        <v>2548</v>
      </c>
      <c r="C482" s="25"/>
      <c r="D482" s="25"/>
      <c r="E482" s="26">
        <f>+E442+E480</f>
        <v>75000</v>
      </c>
      <c r="F482" s="26">
        <f t="shared" ref="F482:G482" si="135">+F442+F480</f>
        <v>16784.600000000002</v>
      </c>
      <c r="G482" s="60">
        <f t="shared" si="135"/>
        <v>28773.600000000002</v>
      </c>
      <c r="H482" s="65">
        <f t="shared" ref="H482:J482" si="136">+H442+H480</f>
        <v>30500.016000000007</v>
      </c>
      <c r="I482" s="26">
        <f t="shared" si="136"/>
        <v>32177.516880000006</v>
      </c>
      <c r="J482" s="27">
        <f t="shared" si="136"/>
        <v>33882.925274640002</v>
      </c>
    </row>
    <row r="483" spans="1:10" s="8" customFormat="1" x14ac:dyDescent="0.35">
      <c r="E483" s="9"/>
      <c r="F483" s="9"/>
      <c r="G483" s="9"/>
      <c r="H483" s="9"/>
      <c r="I483" s="9"/>
      <c r="J483" s="9"/>
    </row>
    <row r="484" spans="1:10" s="8" customFormat="1" x14ac:dyDescent="0.35">
      <c r="E484" s="9"/>
      <c r="F484" s="9"/>
      <c r="G484" s="9"/>
      <c r="H484" s="9"/>
      <c r="I484" s="9"/>
      <c r="J484" s="9"/>
    </row>
    <row r="485" spans="1:10" s="8" customFormat="1" ht="15" thickBot="1" x14ac:dyDescent="0.4">
      <c r="A485" s="12" t="s">
        <v>2591</v>
      </c>
      <c r="B485" s="28" t="s">
        <v>2561</v>
      </c>
      <c r="E485" s="9"/>
      <c r="F485" s="9"/>
      <c r="G485" s="9"/>
      <c r="H485" s="9"/>
      <c r="I485" s="9"/>
      <c r="J485" s="9"/>
    </row>
    <row r="486" spans="1:10" x14ac:dyDescent="0.35">
      <c r="B486" s="31" t="s">
        <v>2543</v>
      </c>
      <c r="C486" s="14" t="s">
        <v>644</v>
      </c>
      <c r="D486" s="14" t="s">
        <v>126</v>
      </c>
      <c r="E486" s="15">
        <v>0</v>
      </c>
      <c r="F486" s="15">
        <v>0</v>
      </c>
      <c r="G486" s="58">
        <f t="shared" si="132"/>
        <v>0</v>
      </c>
      <c r="H486" s="61">
        <f>+G486*1.06</f>
        <v>0</v>
      </c>
      <c r="I486" s="15">
        <f>+H486*1.055</f>
        <v>0</v>
      </c>
      <c r="J486" s="16">
        <f>+I486*1.053</f>
        <v>0</v>
      </c>
    </row>
    <row r="487" spans="1:10" x14ac:dyDescent="0.35">
      <c r="B487" s="79"/>
      <c r="C487" s="80"/>
      <c r="D487" s="80" t="s">
        <v>2649</v>
      </c>
      <c r="E487" s="81"/>
      <c r="F487" s="81"/>
      <c r="G487" s="82"/>
      <c r="H487" s="83">
        <v>-1000000</v>
      </c>
      <c r="I487" s="81"/>
      <c r="J487" s="84"/>
    </row>
    <row r="488" spans="1:10" x14ac:dyDescent="0.35">
      <c r="B488" s="32" t="s">
        <v>2543</v>
      </c>
      <c r="C488" s="5" t="s">
        <v>645</v>
      </c>
      <c r="D488" s="5" t="s">
        <v>30</v>
      </c>
      <c r="E488" s="3">
        <v>0</v>
      </c>
      <c r="F488" s="3">
        <v>0</v>
      </c>
      <c r="G488" s="54">
        <f t="shared" si="132"/>
        <v>0</v>
      </c>
      <c r="H488" s="62">
        <f t="shared" ref="H488:H489" si="137">+G488*1.06</f>
        <v>0</v>
      </c>
      <c r="I488" s="3">
        <f t="shared" ref="I488:I489" si="138">+H488*1.055</f>
        <v>0</v>
      </c>
      <c r="J488" s="18">
        <f t="shared" ref="J488:J489" si="139">+I488*1.053</f>
        <v>0</v>
      </c>
    </row>
    <row r="489" spans="1:10" x14ac:dyDescent="0.35">
      <c r="B489" s="32" t="s">
        <v>2543</v>
      </c>
      <c r="C489" s="5" t="s">
        <v>646</v>
      </c>
      <c r="D489" s="5" t="s">
        <v>32</v>
      </c>
      <c r="E489" s="3">
        <v>0</v>
      </c>
      <c r="F489" s="3">
        <v>0</v>
      </c>
      <c r="G489" s="54">
        <f t="shared" si="132"/>
        <v>0</v>
      </c>
      <c r="H489" s="62">
        <f t="shared" si="137"/>
        <v>0</v>
      </c>
      <c r="I489" s="3">
        <f t="shared" si="138"/>
        <v>0</v>
      </c>
      <c r="J489" s="18">
        <f t="shared" si="139"/>
        <v>0</v>
      </c>
    </row>
    <row r="490" spans="1:10" s="8" customFormat="1" x14ac:dyDescent="0.35">
      <c r="B490" s="33" t="s">
        <v>2545</v>
      </c>
      <c r="C490" s="5"/>
      <c r="D490" s="5"/>
      <c r="E490" s="10">
        <f>SUM(E486:E489)</f>
        <v>0</v>
      </c>
      <c r="F490" s="10">
        <f t="shared" ref="F490:G490" si="140">SUM(F486:F489)</f>
        <v>0</v>
      </c>
      <c r="G490" s="59">
        <f t="shared" si="140"/>
        <v>0</v>
      </c>
      <c r="H490" s="63">
        <f t="shared" ref="H490:J490" si="141">SUM(H486:H489)</f>
        <v>-1000000</v>
      </c>
      <c r="I490" s="10">
        <f t="shared" si="141"/>
        <v>0</v>
      </c>
      <c r="J490" s="22">
        <f t="shared" si="141"/>
        <v>0</v>
      </c>
    </row>
    <row r="491" spans="1:10" s="8" customFormat="1" x14ac:dyDescent="0.35">
      <c r="B491" s="23"/>
      <c r="E491" s="9"/>
      <c r="F491" s="9"/>
      <c r="G491" s="9"/>
      <c r="H491" s="64"/>
      <c r="I491" s="9"/>
      <c r="J491" s="21"/>
    </row>
    <row r="492" spans="1:10" x14ac:dyDescent="0.35">
      <c r="B492" s="32" t="s">
        <v>2544</v>
      </c>
      <c r="C492" s="5" t="s">
        <v>647</v>
      </c>
      <c r="D492" s="5" t="s">
        <v>34</v>
      </c>
      <c r="E492" s="3">
        <v>915509</v>
      </c>
      <c r="F492" s="3">
        <f>878752.06-3408.41</f>
        <v>875343.65</v>
      </c>
      <c r="G492" s="54">
        <f t="shared" si="132"/>
        <v>1500589.1142857145</v>
      </c>
      <c r="H492" s="62">
        <f>+G492*1.058</f>
        <v>1587623.282914286</v>
      </c>
      <c r="I492" s="3">
        <f>+H492*1.055</f>
        <v>1674942.5634745716</v>
      </c>
      <c r="J492" s="18">
        <f>+I492*1.053</f>
        <v>1763714.5193387237</v>
      </c>
    </row>
    <row r="493" spans="1:10" x14ac:dyDescent="0.35">
      <c r="B493" s="32" t="s">
        <v>2544</v>
      </c>
      <c r="C493" s="5" t="s">
        <v>648</v>
      </c>
      <c r="D493" s="5" t="s">
        <v>36</v>
      </c>
      <c r="E493" s="3">
        <v>76292</v>
      </c>
      <c r="F493" s="3">
        <v>138506.67000000001</v>
      </c>
      <c r="G493" s="54">
        <f t="shared" si="132"/>
        <v>237440.00571428577</v>
      </c>
      <c r="H493" s="62">
        <f t="shared" ref="H493:H504" si="142">+G493*1.058</f>
        <v>251211.52604571436</v>
      </c>
      <c r="I493" s="3">
        <f t="shared" ref="I493:I518" si="143">+H493*1.055</f>
        <v>265028.15997822862</v>
      </c>
      <c r="J493" s="18">
        <f t="shared" ref="J493:J518" si="144">+I493*1.053</f>
        <v>279074.65245707473</v>
      </c>
    </row>
    <row r="494" spans="1:10" x14ac:dyDescent="0.35">
      <c r="B494" s="32" t="s">
        <v>2544</v>
      </c>
      <c r="C494" s="5" t="s">
        <v>649</v>
      </c>
      <c r="D494" s="5" t="s">
        <v>38</v>
      </c>
      <c r="E494" s="3">
        <v>93975</v>
      </c>
      <c r="F494" s="3">
        <v>47932.13</v>
      </c>
      <c r="G494" s="54">
        <f t="shared" si="132"/>
        <v>82169.365714285712</v>
      </c>
      <c r="H494" s="62">
        <f t="shared" si="142"/>
        <v>86935.18892571429</v>
      </c>
      <c r="I494" s="3">
        <f t="shared" si="143"/>
        <v>91716.624316628571</v>
      </c>
      <c r="J494" s="18">
        <f t="shared" si="144"/>
        <v>96577.605405409879</v>
      </c>
    </row>
    <row r="495" spans="1:10" x14ac:dyDescent="0.35">
      <c r="B495" s="32" t="s">
        <v>2544</v>
      </c>
      <c r="C495" s="5" t="s">
        <v>650</v>
      </c>
      <c r="D495" s="5" t="s">
        <v>40</v>
      </c>
      <c r="E495" s="3">
        <v>0</v>
      </c>
      <c r="F495" s="3">
        <v>0</v>
      </c>
      <c r="G495" s="54">
        <f t="shared" si="132"/>
        <v>0</v>
      </c>
      <c r="H495" s="62">
        <f t="shared" si="142"/>
        <v>0</v>
      </c>
      <c r="I495" s="3">
        <f t="shared" si="143"/>
        <v>0</v>
      </c>
      <c r="J495" s="18">
        <f t="shared" si="144"/>
        <v>0</v>
      </c>
    </row>
    <row r="496" spans="1:10" x14ac:dyDescent="0.35">
      <c r="B496" s="32" t="s">
        <v>2544</v>
      </c>
      <c r="C496" s="5" t="s">
        <v>651</v>
      </c>
      <c r="D496" s="5" t="s">
        <v>526</v>
      </c>
      <c r="E496" s="3">
        <v>39512</v>
      </c>
      <c r="F496" s="3">
        <v>18543.27</v>
      </c>
      <c r="G496" s="54">
        <f t="shared" si="132"/>
        <v>31788.462857142862</v>
      </c>
      <c r="H496" s="62">
        <f t="shared" si="142"/>
        <v>33632.193702857148</v>
      </c>
      <c r="I496" s="3">
        <f t="shared" si="143"/>
        <v>35481.964356514291</v>
      </c>
      <c r="J496" s="18">
        <f t="shared" si="144"/>
        <v>37362.508467409549</v>
      </c>
    </row>
    <row r="497" spans="2:14" x14ac:dyDescent="0.35">
      <c r="B497" s="32" t="s">
        <v>2544</v>
      </c>
      <c r="C497" s="5" t="s">
        <v>652</v>
      </c>
      <c r="D497" s="5" t="s">
        <v>197</v>
      </c>
      <c r="E497" s="3">
        <v>0</v>
      </c>
      <c r="F497" s="3">
        <v>0</v>
      </c>
      <c r="G497" s="54">
        <f t="shared" si="132"/>
        <v>0</v>
      </c>
      <c r="H497" s="62">
        <f t="shared" si="142"/>
        <v>0</v>
      </c>
      <c r="I497" s="3">
        <f t="shared" si="143"/>
        <v>0</v>
      </c>
      <c r="J497" s="18">
        <f t="shared" si="144"/>
        <v>0</v>
      </c>
    </row>
    <row r="498" spans="2:14" x14ac:dyDescent="0.35">
      <c r="B498" s="32" t="s">
        <v>2544</v>
      </c>
      <c r="C498" s="5" t="s">
        <v>653</v>
      </c>
      <c r="D498" s="5" t="s">
        <v>42</v>
      </c>
      <c r="E498" s="3">
        <v>121211</v>
      </c>
      <c r="F498" s="3">
        <v>102544.4</v>
      </c>
      <c r="G498" s="54">
        <f t="shared" si="132"/>
        <v>175790.4</v>
      </c>
      <c r="H498" s="62">
        <f t="shared" si="142"/>
        <v>185986.2432</v>
      </c>
      <c r="I498" s="3">
        <f t="shared" si="143"/>
        <v>196215.486576</v>
      </c>
      <c r="J498" s="18">
        <f t="shared" si="144"/>
        <v>206614.90736452799</v>
      </c>
    </row>
    <row r="499" spans="2:14" x14ac:dyDescent="0.35">
      <c r="B499" s="32" t="s">
        <v>2544</v>
      </c>
      <c r="C499" s="5" t="s">
        <v>654</v>
      </c>
      <c r="D499" s="5" t="s">
        <v>44</v>
      </c>
      <c r="E499" s="3">
        <v>9155</v>
      </c>
      <c r="F499" s="3">
        <v>8903.8799999999992</v>
      </c>
      <c r="G499" s="54">
        <f t="shared" si="132"/>
        <v>15263.794285714284</v>
      </c>
      <c r="H499" s="62">
        <f t="shared" si="142"/>
        <v>16149.094354285713</v>
      </c>
      <c r="I499" s="3">
        <f t="shared" si="143"/>
        <v>17037.294543771426</v>
      </c>
      <c r="J499" s="18">
        <f t="shared" si="144"/>
        <v>17940.271154591312</v>
      </c>
    </row>
    <row r="500" spans="2:14" x14ac:dyDescent="0.35">
      <c r="B500" s="32" t="s">
        <v>2544</v>
      </c>
      <c r="C500" s="5" t="s">
        <v>655</v>
      </c>
      <c r="D500" s="5" t="s">
        <v>46</v>
      </c>
      <c r="E500" s="3">
        <v>9155</v>
      </c>
      <c r="F500" s="3">
        <v>643.16</v>
      </c>
      <c r="G500" s="54">
        <f t="shared" si="132"/>
        <v>1102.56</v>
      </c>
      <c r="H500" s="62">
        <f t="shared" si="142"/>
        <v>1166.50848</v>
      </c>
      <c r="I500" s="3">
        <f t="shared" si="143"/>
        <v>1230.6664463999998</v>
      </c>
      <c r="J500" s="18">
        <f t="shared" si="144"/>
        <v>1295.8917680591996</v>
      </c>
    </row>
    <row r="501" spans="2:14" x14ac:dyDescent="0.35">
      <c r="B501" s="32" t="s">
        <v>2544</v>
      </c>
      <c r="C501" s="5" t="s">
        <v>656</v>
      </c>
      <c r="D501" s="5" t="s">
        <v>48</v>
      </c>
      <c r="E501" s="3">
        <v>0</v>
      </c>
      <c r="F501" s="3">
        <v>0</v>
      </c>
      <c r="G501" s="54">
        <f t="shared" si="132"/>
        <v>0</v>
      </c>
      <c r="H501" s="62">
        <f t="shared" si="142"/>
        <v>0</v>
      </c>
      <c r="I501" s="3">
        <f t="shared" si="143"/>
        <v>0</v>
      </c>
      <c r="J501" s="18">
        <f t="shared" si="144"/>
        <v>0</v>
      </c>
    </row>
    <row r="502" spans="2:14" x14ac:dyDescent="0.35">
      <c r="B502" s="32" t="s">
        <v>2544</v>
      </c>
      <c r="C502" s="5" t="s">
        <v>657</v>
      </c>
      <c r="D502" s="5" t="s">
        <v>50</v>
      </c>
      <c r="E502" s="3">
        <v>9155</v>
      </c>
      <c r="F502" s="3">
        <v>15834.72</v>
      </c>
      <c r="G502" s="54">
        <f t="shared" si="132"/>
        <v>27145.234285714283</v>
      </c>
      <c r="H502" s="62">
        <f t="shared" si="142"/>
        <v>28719.657874285713</v>
      </c>
      <c r="I502" s="3">
        <f t="shared" si="143"/>
        <v>30299.239057371426</v>
      </c>
      <c r="J502" s="18">
        <f t="shared" si="144"/>
        <v>31905.098727412111</v>
      </c>
      <c r="N502">
        <f>364320/4*6</f>
        <v>546480</v>
      </c>
    </row>
    <row r="503" spans="2:14" x14ac:dyDescent="0.35">
      <c r="B503" s="32"/>
      <c r="C503" s="5"/>
      <c r="D503" s="5" t="s">
        <v>2655</v>
      </c>
      <c r="E503" s="3"/>
      <c r="F503" s="3"/>
      <c r="G503" s="54"/>
      <c r="H503" s="75">
        <f>546480+50000</f>
        <v>596480</v>
      </c>
      <c r="I503" s="3"/>
      <c r="J503" s="18"/>
    </row>
    <row r="504" spans="2:14" x14ac:dyDescent="0.35">
      <c r="B504" s="32" t="s">
        <v>2544</v>
      </c>
      <c r="C504" s="5" t="s">
        <v>658</v>
      </c>
      <c r="D504" s="5" t="s">
        <v>52</v>
      </c>
      <c r="E504" s="3">
        <v>0</v>
      </c>
      <c r="F504" s="3">
        <v>9858.07</v>
      </c>
      <c r="G504" s="54">
        <f t="shared" si="132"/>
        <v>16899.548571428571</v>
      </c>
      <c r="H504" s="62">
        <f t="shared" si="142"/>
        <v>17879.72238857143</v>
      </c>
      <c r="I504" s="3">
        <f t="shared" si="143"/>
        <v>18863.107119942859</v>
      </c>
      <c r="J504" s="18">
        <f t="shared" si="144"/>
        <v>19862.851797299831</v>
      </c>
    </row>
    <row r="505" spans="2:14" x14ac:dyDescent="0.35">
      <c r="B505" s="32" t="s">
        <v>2544</v>
      </c>
      <c r="C505" s="5" t="s">
        <v>659</v>
      </c>
      <c r="D505" s="5" t="s">
        <v>64</v>
      </c>
      <c r="E505" s="3">
        <v>10012000</v>
      </c>
      <c r="F505" s="3">
        <v>0</v>
      </c>
      <c r="G505" s="54">
        <f t="shared" si="132"/>
        <v>0</v>
      </c>
      <c r="H505" s="62">
        <f>+G505*1.06</f>
        <v>0</v>
      </c>
      <c r="I505" s="3">
        <f t="shared" si="143"/>
        <v>0</v>
      </c>
      <c r="J505" s="18">
        <f t="shared" si="144"/>
        <v>0</v>
      </c>
    </row>
    <row r="506" spans="2:14" x14ac:dyDescent="0.35">
      <c r="B506" s="32" t="s">
        <v>2544</v>
      </c>
      <c r="C506" s="5" t="s">
        <v>660</v>
      </c>
      <c r="D506" s="5" t="s">
        <v>66</v>
      </c>
      <c r="E506" s="3">
        <v>0</v>
      </c>
      <c r="F506" s="3">
        <v>0</v>
      </c>
      <c r="G506" s="54">
        <f t="shared" si="132"/>
        <v>0</v>
      </c>
      <c r="H506" s="62">
        <f t="shared" ref="H506:H518" si="145">+G506*1.06</f>
        <v>0</v>
      </c>
      <c r="I506" s="3">
        <f t="shared" si="143"/>
        <v>0</v>
      </c>
      <c r="J506" s="18">
        <f t="shared" si="144"/>
        <v>0</v>
      </c>
    </row>
    <row r="507" spans="2:14" x14ac:dyDescent="0.35">
      <c r="B507" s="32" t="s">
        <v>2544</v>
      </c>
      <c r="C507" s="5" t="s">
        <v>661</v>
      </c>
      <c r="D507" s="5" t="s">
        <v>68</v>
      </c>
      <c r="E507" s="3">
        <v>0</v>
      </c>
      <c r="F507" s="3">
        <v>0</v>
      </c>
      <c r="G507" s="54">
        <f t="shared" si="132"/>
        <v>0</v>
      </c>
      <c r="H507" s="62">
        <f t="shared" si="145"/>
        <v>0</v>
      </c>
      <c r="I507" s="3">
        <f t="shared" si="143"/>
        <v>0</v>
      </c>
      <c r="J507" s="18">
        <f t="shared" si="144"/>
        <v>0</v>
      </c>
    </row>
    <row r="508" spans="2:14" x14ac:dyDescent="0.35">
      <c r="B508" s="32" t="s">
        <v>2544</v>
      </c>
      <c r="C508" s="5" t="s">
        <v>662</v>
      </c>
      <c r="D508" s="5" t="s">
        <v>90</v>
      </c>
      <c r="E508" s="3">
        <v>6000</v>
      </c>
      <c r="F508" s="3">
        <v>6000</v>
      </c>
      <c r="G508" s="54">
        <f t="shared" si="132"/>
        <v>10285.714285714286</v>
      </c>
      <c r="H508" s="62">
        <f t="shared" si="145"/>
        <v>10902.857142857143</v>
      </c>
      <c r="I508" s="3">
        <f t="shared" si="143"/>
        <v>11502.514285714286</v>
      </c>
      <c r="J508" s="18">
        <f t="shared" si="144"/>
        <v>12112.147542857141</v>
      </c>
    </row>
    <row r="509" spans="2:14" x14ac:dyDescent="0.35">
      <c r="B509" s="32" t="s">
        <v>2544</v>
      </c>
      <c r="C509" s="5" t="s">
        <v>663</v>
      </c>
      <c r="D509" s="5" t="s">
        <v>440</v>
      </c>
      <c r="E509" s="3">
        <v>9000</v>
      </c>
      <c r="F509" s="3">
        <v>4549.4399999999996</v>
      </c>
      <c r="G509" s="54">
        <f t="shared" si="132"/>
        <v>7799.0399999999991</v>
      </c>
      <c r="H509" s="75">
        <v>25000</v>
      </c>
      <c r="I509" s="3">
        <f t="shared" si="143"/>
        <v>26375</v>
      </c>
      <c r="J509" s="18">
        <f t="shared" si="144"/>
        <v>27772.875</v>
      </c>
    </row>
    <row r="510" spans="2:14" x14ac:dyDescent="0.35">
      <c r="B510" s="32" t="s">
        <v>2544</v>
      </c>
      <c r="C510" s="5" t="s">
        <v>664</v>
      </c>
      <c r="D510" s="5" t="s">
        <v>541</v>
      </c>
      <c r="E510" s="3">
        <v>0</v>
      </c>
      <c r="F510" s="3">
        <v>0</v>
      </c>
      <c r="G510" s="54">
        <f t="shared" si="132"/>
        <v>0</v>
      </c>
      <c r="H510" s="62">
        <f t="shared" si="145"/>
        <v>0</v>
      </c>
      <c r="I510" s="3">
        <f t="shared" si="143"/>
        <v>0</v>
      </c>
      <c r="J510" s="18">
        <f t="shared" si="144"/>
        <v>0</v>
      </c>
    </row>
    <row r="511" spans="2:14" x14ac:dyDescent="0.35">
      <c r="B511" s="32" t="s">
        <v>2544</v>
      </c>
      <c r="C511" s="5" t="s">
        <v>665</v>
      </c>
      <c r="D511" s="5" t="s">
        <v>2650</v>
      </c>
      <c r="E511" s="3">
        <v>120000</v>
      </c>
      <c r="F511" s="3">
        <f>34517.06-6.24</f>
        <v>34510.82</v>
      </c>
      <c r="G511" s="54">
        <f t="shared" si="132"/>
        <v>59161.405714285705</v>
      </c>
      <c r="H511" s="75">
        <v>65000</v>
      </c>
      <c r="I511" s="3">
        <f t="shared" si="143"/>
        <v>68575</v>
      </c>
      <c r="J511" s="18">
        <f t="shared" si="144"/>
        <v>72209.474999999991</v>
      </c>
    </row>
    <row r="512" spans="2:14" x14ac:dyDescent="0.35">
      <c r="B512" s="32" t="s">
        <v>2544</v>
      </c>
      <c r="C512" s="5" t="s">
        <v>666</v>
      </c>
      <c r="D512" s="5" t="s">
        <v>2651</v>
      </c>
      <c r="E512" s="3">
        <v>10000</v>
      </c>
      <c r="F512" s="3">
        <v>48.4</v>
      </c>
      <c r="G512" s="54">
        <f t="shared" si="132"/>
        <v>82.971428571428561</v>
      </c>
      <c r="H512" s="75">
        <v>70000</v>
      </c>
      <c r="I512" s="3">
        <f t="shared" si="143"/>
        <v>73850</v>
      </c>
      <c r="J512" s="18">
        <f t="shared" si="144"/>
        <v>77764.049999999988</v>
      </c>
    </row>
    <row r="513" spans="1:11" x14ac:dyDescent="0.35">
      <c r="B513" s="32" t="s">
        <v>2544</v>
      </c>
      <c r="C513" s="5" t="s">
        <v>668</v>
      </c>
      <c r="D513" s="5" t="s">
        <v>2652</v>
      </c>
      <c r="E513" s="3">
        <v>1750</v>
      </c>
      <c r="F513" s="3">
        <v>0</v>
      </c>
      <c r="G513" s="54">
        <f t="shared" si="132"/>
        <v>0</v>
      </c>
      <c r="H513" s="75">
        <v>40000</v>
      </c>
      <c r="I513" s="3">
        <f t="shared" si="143"/>
        <v>42200</v>
      </c>
      <c r="J513" s="18">
        <f t="shared" si="144"/>
        <v>44436.6</v>
      </c>
    </row>
    <row r="514" spans="1:11" x14ac:dyDescent="0.35">
      <c r="B514" s="32" t="s">
        <v>2544</v>
      </c>
      <c r="C514" s="5" t="s">
        <v>670</v>
      </c>
      <c r="D514" s="5" t="s">
        <v>2653</v>
      </c>
      <c r="E514" s="3">
        <v>100000</v>
      </c>
      <c r="F514" s="3">
        <v>38512.81</v>
      </c>
      <c r="G514" s="54">
        <f t="shared" si="132"/>
        <v>66021.959999999992</v>
      </c>
      <c r="H514" s="75">
        <v>99000</v>
      </c>
      <c r="I514" s="3">
        <f t="shared" si="143"/>
        <v>104445</v>
      </c>
      <c r="J514" s="18">
        <f t="shared" si="144"/>
        <v>109980.58499999999</v>
      </c>
    </row>
    <row r="515" spans="1:11" x14ac:dyDescent="0.35">
      <c r="B515" s="32" t="s">
        <v>2544</v>
      </c>
      <c r="C515" s="5" t="s">
        <v>672</v>
      </c>
      <c r="D515" s="5" t="s">
        <v>2654</v>
      </c>
      <c r="E515" s="3">
        <v>12000</v>
      </c>
      <c r="F515" s="3">
        <v>5515.67</v>
      </c>
      <c r="G515" s="54">
        <f t="shared" si="132"/>
        <v>9455.4342857142856</v>
      </c>
      <c r="H515" s="75">
        <f>139720-30000-5200</f>
        <v>104520</v>
      </c>
      <c r="I515" s="3">
        <f t="shared" si="143"/>
        <v>110268.59999999999</v>
      </c>
      <c r="J515" s="18">
        <f t="shared" si="144"/>
        <v>116112.83579999999</v>
      </c>
      <c r="K515" s="2"/>
    </row>
    <row r="516" spans="1:11" x14ac:dyDescent="0.35">
      <c r="B516" s="32" t="s">
        <v>2544</v>
      </c>
      <c r="C516" s="5" t="s">
        <v>673</v>
      </c>
      <c r="D516" s="5" t="s">
        <v>674</v>
      </c>
      <c r="E516" s="3">
        <v>0</v>
      </c>
      <c r="F516" s="3">
        <v>0</v>
      </c>
      <c r="G516" s="54">
        <f t="shared" si="132"/>
        <v>0</v>
      </c>
      <c r="H516" s="62">
        <f t="shared" si="145"/>
        <v>0</v>
      </c>
      <c r="I516" s="3">
        <f t="shared" si="143"/>
        <v>0</v>
      </c>
      <c r="J516" s="18">
        <f t="shared" si="144"/>
        <v>0</v>
      </c>
    </row>
    <row r="517" spans="1:11" x14ac:dyDescent="0.35">
      <c r="B517" s="32" t="s">
        <v>2544</v>
      </c>
      <c r="C517" s="5" t="s">
        <v>675</v>
      </c>
      <c r="D517" s="5" t="s">
        <v>120</v>
      </c>
      <c r="E517" s="3">
        <v>0</v>
      </c>
      <c r="F517" s="3">
        <v>0</v>
      </c>
      <c r="G517" s="54">
        <f t="shared" si="132"/>
        <v>0</v>
      </c>
      <c r="H517" s="62">
        <f t="shared" si="145"/>
        <v>0</v>
      </c>
      <c r="I517" s="3">
        <f t="shared" si="143"/>
        <v>0</v>
      </c>
      <c r="J517" s="18">
        <f t="shared" si="144"/>
        <v>0</v>
      </c>
    </row>
    <row r="518" spans="1:11" x14ac:dyDescent="0.35">
      <c r="B518" s="32" t="s">
        <v>2544</v>
      </c>
      <c r="C518" s="5" t="s">
        <v>676</v>
      </c>
      <c r="D518" s="5" t="s">
        <v>124</v>
      </c>
      <c r="E518" s="3">
        <v>0</v>
      </c>
      <c r="F518" s="3">
        <v>0</v>
      </c>
      <c r="G518" s="54">
        <f t="shared" si="132"/>
        <v>0</v>
      </c>
      <c r="H518" s="62">
        <f t="shared" si="145"/>
        <v>0</v>
      </c>
      <c r="I518" s="3">
        <f t="shared" si="143"/>
        <v>0</v>
      </c>
      <c r="J518" s="18">
        <f t="shared" si="144"/>
        <v>0</v>
      </c>
    </row>
    <row r="519" spans="1:11" s="8" customFormat="1" x14ac:dyDescent="0.35">
      <c r="B519" s="33" t="s">
        <v>2546</v>
      </c>
      <c r="C519" s="5"/>
      <c r="D519" s="5"/>
      <c r="E519" s="10">
        <f>SUM(E492:E518)</f>
        <v>11544714</v>
      </c>
      <c r="F519" s="10">
        <f t="shared" ref="F519:G519" si="146">SUM(F492:F518)</f>
        <v>1307247.0899999996</v>
      </c>
      <c r="G519" s="59">
        <f t="shared" si="146"/>
        <v>2240995.0114285713</v>
      </c>
      <c r="H519" s="63">
        <f t="shared" ref="H519:J519" si="147">SUM(H492:H518)</f>
        <v>3220206.275028572</v>
      </c>
      <c r="I519" s="10">
        <f t="shared" si="147"/>
        <v>2768031.2201551432</v>
      </c>
      <c r="J519" s="22">
        <f t="shared" si="147"/>
        <v>2914736.8748233658</v>
      </c>
    </row>
    <row r="520" spans="1:11" s="8" customFormat="1" ht="8.25" customHeight="1" x14ac:dyDescent="0.35">
      <c r="B520" s="23"/>
      <c r="E520" s="39"/>
      <c r="F520" s="39"/>
      <c r="G520" s="39"/>
      <c r="H520" s="68"/>
      <c r="I520" s="39"/>
      <c r="J520" s="40"/>
    </row>
    <row r="521" spans="1:11" s="8" customFormat="1" ht="15" thickBot="1" x14ac:dyDescent="0.4">
      <c r="B521" s="35" t="s">
        <v>2548</v>
      </c>
      <c r="C521" s="25"/>
      <c r="D521" s="25"/>
      <c r="E521" s="26">
        <f>+E490+E519</f>
        <v>11544714</v>
      </c>
      <c r="F521" s="26">
        <f t="shared" ref="F521:G521" si="148">+F490+F519</f>
        <v>1307247.0899999996</v>
      </c>
      <c r="G521" s="60">
        <f t="shared" si="148"/>
        <v>2240995.0114285713</v>
      </c>
      <c r="H521" s="65">
        <f t="shared" ref="H521:J521" si="149">+H490+H519</f>
        <v>2220206.275028572</v>
      </c>
      <c r="I521" s="26">
        <f t="shared" si="149"/>
        <v>2768031.2201551432</v>
      </c>
      <c r="J521" s="27">
        <f t="shared" si="149"/>
        <v>2914736.8748233658</v>
      </c>
    </row>
    <row r="522" spans="1:11" s="8" customFormat="1" x14ac:dyDescent="0.35">
      <c r="E522" s="9"/>
      <c r="F522" s="9"/>
      <c r="G522" s="9"/>
      <c r="H522" s="9"/>
      <c r="I522" s="9"/>
      <c r="J522" s="9"/>
    </row>
    <row r="523" spans="1:11" s="8" customFormat="1" x14ac:dyDescent="0.35">
      <c r="E523" s="9"/>
      <c r="F523" s="9"/>
      <c r="G523" s="9"/>
      <c r="H523" s="9"/>
      <c r="I523" s="9"/>
      <c r="J523" s="9"/>
    </row>
    <row r="524" spans="1:11" s="8" customFormat="1" ht="15" thickBot="1" x14ac:dyDescent="0.4">
      <c r="A524" s="28" t="s">
        <v>2564</v>
      </c>
      <c r="B524" s="28" t="s">
        <v>2564</v>
      </c>
      <c r="E524" s="9"/>
      <c r="F524" s="9"/>
      <c r="G524" s="9"/>
      <c r="H524" s="9"/>
      <c r="I524" s="9"/>
      <c r="J524" s="9"/>
    </row>
    <row r="525" spans="1:11" x14ac:dyDescent="0.35">
      <c r="B525" s="31" t="s">
        <v>2543</v>
      </c>
      <c r="C525" s="14" t="s">
        <v>701</v>
      </c>
      <c r="D525" s="14" t="s">
        <v>702</v>
      </c>
      <c r="E525" s="15">
        <v>-5691670</v>
      </c>
      <c r="F525" s="15">
        <f>26771.7-3190555.23</f>
        <v>-3163783.53</v>
      </c>
      <c r="G525" s="58">
        <f t="shared" ref="G525:G553" si="150">+F525/7*12</f>
        <v>-5423628.9085714277</v>
      </c>
      <c r="H525" s="61">
        <f>+G525*1.1269</f>
        <v>-6111887.4170691418</v>
      </c>
      <c r="I525" s="15">
        <f>+H525*1.055</f>
        <v>-6448041.2250079438</v>
      </c>
      <c r="J525" s="16">
        <f>+I525*1.053</f>
        <v>-6789787.409933364</v>
      </c>
    </row>
    <row r="526" spans="1:11" x14ac:dyDescent="0.35">
      <c r="B526" s="32" t="s">
        <v>2543</v>
      </c>
      <c r="C526" s="5" t="s">
        <v>703</v>
      </c>
      <c r="D526" s="5" t="s">
        <v>704</v>
      </c>
      <c r="E526" s="3">
        <v>-3275395</v>
      </c>
      <c r="F526" s="3">
        <f>398.66-1969833.4</f>
        <v>-1969434.74</v>
      </c>
      <c r="G526" s="54">
        <f t="shared" si="150"/>
        <v>-3376173.84</v>
      </c>
      <c r="H526" s="62">
        <f t="shared" ref="H526" si="151">+G526*1.1269</f>
        <v>-3804610.3002959997</v>
      </c>
      <c r="I526" s="3">
        <f t="shared" ref="I526:I535" si="152">+H526*1.055</f>
        <v>-4013863.8668122794</v>
      </c>
      <c r="J526" s="18">
        <f t="shared" ref="J526:J535" si="153">+I526*1.053</f>
        <v>-4226598.6517533297</v>
      </c>
    </row>
    <row r="527" spans="1:11" x14ac:dyDescent="0.35">
      <c r="B527" s="32" t="s">
        <v>2543</v>
      </c>
      <c r="C527" s="5" t="s">
        <v>705</v>
      </c>
      <c r="D527" s="5" t="s">
        <v>706</v>
      </c>
      <c r="E527" s="3">
        <v>232569</v>
      </c>
      <c r="F527" s="3">
        <v>165327.53</v>
      </c>
      <c r="G527" s="54">
        <f t="shared" si="150"/>
        <v>283418.62285714282</v>
      </c>
      <c r="H527" s="62"/>
      <c r="I527" s="3">
        <f t="shared" si="152"/>
        <v>0</v>
      </c>
      <c r="J527" s="18">
        <f t="shared" si="153"/>
        <v>0</v>
      </c>
    </row>
    <row r="528" spans="1:11" x14ac:dyDescent="0.35">
      <c r="B528" s="32" t="s">
        <v>2543</v>
      </c>
      <c r="C528" s="5" t="s">
        <v>707</v>
      </c>
      <c r="D528" s="5" t="s">
        <v>708</v>
      </c>
      <c r="E528" s="3">
        <v>-20000</v>
      </c>
      <c r="F528" s="3">
        <f>228.42-1860</f>
        <v>-1631.58</v>
      </c>
      <c r="G528" s="54">
        <f t="shared" si="150"/>
        <v>-2796.9942857142855</v>
      </c>
      <c r="H528" s="75">
        <v>-20000</v>
      </c>
      <c r="I528" s="3">
        <f t="shared" si="152"/>
        <v>-21100</v>
      </c>
      <c r="J528" s="18">
        <f t="shared" si="153"/>
        <v>-22218.3</v>
      </c>
    </row>
    <row r="529" spans="2:10" x14ac:dyDescent="0.35">
      <c r="B529" s="32" t="s">
        <v>2543</v>
      </c>
      <c r="C529" s="5" t="s">
        <v>709</v>
      </c>
      <c r="D529" s="5" t="s">
        <v>710</v>
      </c>
      <c r="E529" s="3">
        <v>-25000</v>
      </c>
      <c r="F529" s="3">
        <f>7225.56-58840</f>
        <v>-51614.44</v>
      </c>
      <c r="G529" s="54">
        <f t="shared" si="150"/>
        <v>-88481.897142857139</v>
      </c>
      <c r="H529" s="75">
        <v>-50000</v>
      </c>
      <c r="I529" s="3">
        <f t="shared" si="152"/>
        <v>-52750</v>
      </c>
      <c r="J529" s="18">
        <f t="shared" si="153"/>
        <v>-55545.75</v>
      </c>
    </row>
    <row r="530" spans="2:10" x14ac:dyDescent="0.35">
      <c r="B530" s="32" t="s">
        <v>2543</v>
      </c>
      <c r="C530" s="11"/>
      <c r="D530" s="11" t="s">
        <v>2626</v>
      </c>
      <c r="E530" s="3">
        <v>0</v>
      </c>
      <c r="F530" s="3">
        <v>0</v>
      </c>
      <c r="G530" s="54">
        <f t="shared" si="150"/>
        <v>0</v>
      </c>
      <c r="H530" s="75">
        <v>-30000</v>
      </c>
      <c r="I530" s="3">
        <f t="shared" si="152"/>
        <v>-31649.999999999996</v>
      </c>
      <c r="J530" s="18">
        <f t="shared" si="153"/>
        <v>-33327.449999999997</v>
      </c>
    </row>
    <row r="531" spans="2:10" x14ac:dyDescent="0.35">
      <c r="B531" s="32"/>
      <c r="C531" s="11"/>
      <c r="D531" s="11" t="s">
        <v>2627</v>
      </c>
      <c r="E531" s="3"/>
      <c r="F531" s="3"/>
      <c r="G531" s="54"/>
      <c r="H531" s="75">
        <v>-30000</v>
      </c>
      <c r="I531" s="3">
        <f t="shared" si="152"/>
        <v>-31649.999999999996</v>
      </c>
      <c r="J531" s="18">
        <f t="shared" si="153"/>
        <v>-33327.449999999997</v>
      </c>
    </row>
    <row r="532" spans="2:10" x14ac:dyDescent="0.35">
      <c r="B532" s="32" t="s">
        <v>2543</v>
      </c>
      <c r="C532" s="5" t="s">
        <v>712</v>
      </c>
      <c r="D532" s="5" t="s">
        <v>16</v>
      </c>
      <c r="E532" s="3">
        <v>-1900000</v>
      </c>
      <c r="F532" s="3">
        <v>0</v>
      </c>
      <c r="G532" s="54">
        <f t="shared" si="150"/>
        <v>0</v>
      </c>
      <c r="H532" s="62">
        <f t="shared" ref="H532:H534" si="154">+G532*1.06</f>
        <v>0</v>
      </c>
      <c r="I532" s="3">
        <f t="shared" si="152"/>
        <v>0</v>
      </c>
      <c r="J532" s="18">
        <f t="shared" si="153"/>
        <v>0</v>
      </c>
    </row>
    <row r="533" spans="2:10" x14ac:dyDescent="0.35">
      <c r="B533" s="32" t="s">
        <v>2543</v>
      </c>
      <c r="C533" s="5" t="s">
        <v>713</v>
      </c>
      <c r="D533" s="5" t="s">
        <v>714</v>
      </c>
      <c r="E533" s="3">
        <v>0</v>
      </c>
      <c r="F533" s="3">
        <v>0</v>
      </c>
      <c r="G533" s="54">
        <f t="shared" si="150"/>
        <v>0</v>
      </c>
      <c r="H533" s="62">
        <f t="shared" si="154"/>
        <v>0</v>
      </c>
      <c r="I533" s="3">
        <f t="shared" si="152"/>
        <v>0</v>
      </c>
      <c r="J533" s="18">
        <f t="shared" si="153"/>
        <v>0</v>
      </c>
    </row>
    <row r="534" spans="2:10" x14ac:dyDescent="0.35">
      <c r="B534" s="32" t="s">
        <v>2543</v>
      </c>
      <c r="C534" s="5" t="s">
        <v>715</v>
      </c>
      <c r="D534" s="5" t="s">
        <v>30</v>
      </c>
      <c r="E534" s="3">
        <v>0</v>
      </c>
      <c r="F534" s="3">
        <v>0</v>
      </c>
      <c r="G534" s="54">
        <f t="shared" si="150"/>
        <v>0</v>
      </c>
      <c r="H534" s="62">
        <f t="shared" si="154"/>
        <v>0</v>
      </c>
      <c r="I534" s="3">
        <f t="shared" si="152"/>
        <v>0</v>
      </c>
      <c r="J534" s="18">
        <f t="shared" si="153"/>
        <v>0</v>
      </c>
    </row>
    <row r="535" spans="2:10" x14ac:dyDescent="0.35">
      <c r="B535" s="32" t="s">
        <v>2543</v>
      </c>
      <c r="C535" s="5" t="s">
        <v>716</v>
      </c>
      <c r="D535" s="5" t="s">
        <v>32</v>
      </c>
      <c r="E535" s="3">
        <v>0</v>
      </c>
      <c r="F535" s="3">
        <v>0</v>
      </c>
      <c r="G535" s="54">
        <f t="shared" si="150"/>
        <v>0</v>
      </c>
      <c r="H535" s="62">
        <v>-50000</v>
      </c>
      <c r="I535" s="3">
        <f t="shared" si="152"/>
        <v>-52750</v>
      </c>
      <c r="J535" s="18">
        <f t="shared" si="153"/>
        <v>-55545.75</v>
      </c>
    </row>
    <row r="536" spans="2:10" s="8" customFormat="1" x14ac:dyDescent="0.35">
      <c r="B536" s="33" t="s">
        <v>2545</v>
      </c>
      <c r="C536" s="5"/>
      <c r="D536" s="5"/>
      <c r="E536" s="10">
        <f>SUM(E525:E535)</f>
        <v>-10679496</v>
      </c>
      <c r="F536" s="10">
        <f t="shared" ref="F536:G536" si="155">SUM(F525:F535)</f>
        <v>-5021136.76</v>
      </c>
      <c r="G536" s="59">
        <f t="shared" si="155"/>
        <v>-8607663.0171428565</v>
      </c>
      <c r="H536" s="63">
        <f t="shared" ref="H536:J536" si="156">SUM(H525:H535)</f>
        <v>-10096497.717365142</v>
      </c>
      <c r="I536" s="10">
        <f t="shared" si="156"/>
        <v>-10651805.091820223</v>
      </c>
      <c r="J536" s="22">
        <f t="shared" si="156"/>
        <v>-11216350.761686694</v>
      </c>
    </row>
    <row r="537" spans="2:10" s="8" customFormat="1" x14ac:dyDescent="0.35">
      <c r="B537" s="23"/>
      <c r="E537" s="9"/>
      <c r="F537" s="9"/>
      <c r="G537" s="9"/>
      <c r="H537" s="64"/>
      <c r="I537" s="9"/>
      <c r="J537" s="21"/>
    </row>
    <row r="538" spans="2:10" x14ac:dyDescent="0.35">
      <c r="B538" s="32" t="s">
        <v>2544</v>
      </c>
      <c r="C538" s="5" t="s">
        <v>717</v>
      </c>
      <c r="D538" s="5" t="s">
        <v>34</v>
      </c>
      <c r="E538" s="3">
        <v>461151</v>
      </c>
      <c r="F538" s="3">
        <f>254927.07-7050.01</f>
        <v>247877.06</v>
      </c>
      <c r="G538" s="54">
        <f t="shared" si="150"/>
        <v>424932.10285714292</v>
      </c>
      <c r="H538" s="75">
        <f>+G538*1.058</f>
        <v>449578.16482285724</v>
      </c>
      <c r="I538" s="3">
        <f>+H538*1.055</f>
        <v>474304.96388811438</v>
      </c>
      <c r="J538" s="18">
        <f>+I538*1.053</f>
        <v>499443.12697418442</v>
      </c>
    </row>
    <row r="539" spans="2:10" x14ac:dyDescent="0.35">
      <c r="B539" s="32" t="s">
        <v>2544</v>
      </c>
      <c r="C539" s="5" t="s">
        <v>718</v>
      </c>
      <c r="D539" s="5" t="s">
        <v>36</v>
      </c>
      <c r="E539" s="3">
        <v>38429</v>
      </c>
      <c r="F539" s="3">
        <v>36112.17</v>
      </c>
      <c r="G539" s="54">
        <f t="shared" si="150"/>
        <v>61906.577142857132</v>
      </c>
      <c r="H539" s="75">
        <f t="shared" ref="H539:H550" si="157">+G539*1.058</f>
        <v>65497.15861714285</v>
      </c>
      <c r="I539" s="3">
        <f t="shared" ref="I539:I581" si="158">+H539*1.055</f>
        <v>69099.502341085696</v>
      </c>
      <c r="J539" s="18">
        <f t="shared" ref="J539:J581" si="159">+I539*1.053</f>
        <v>72761.775965163237</v>
      </c>
    </row>
    <row r="540" spans="2:10" x14ac:dyDescent="0.35">
      <c r="B540" s="32" t="s">
        <v>2544</v>
      </c>
      <c r="C540" s="5" t="s">
        <v>719</v>
      </c>
      <c r="D540" s="5" t="s">
        <v>38</v>
      </c>
      <c r="E540" s="3">
        <v>0</v>
      </c>
      <c r="F540" s="3">
        <v>12768.15</v>
      </c>
      <c r="G540" s="54">
        <f t="shared" si="150"/>
        <v>21888.257142857143</v>
      </c>
      <c r="H540" s="75">
        <v>24000</v>
      </c>
      <c r="I540" s="3">
        <f t="shared" si="158"/>
        <v>25320</v>
      </c>
      <c r="J540" s="18">
        <f t="shared" si="159"/>
        <v>26661.96</v>
      </c>
    </row>
    <row r="541" spans="2:10" x14ac:dyDescent="0.35">
      <c r="B541" s="32" t="s">
        <v>2544</v>
      </c>
      <c r="C541" s="5" t="s">
        <v>720</v>
      </c>
      <c r="D541" s="5" t="s">
        <v>40</v>
      </c>
      <c r="E541" s="3">
        <v>0</v>
      </c>
      <c r="F541" s="3">
        <v>0</v>
      </c>
      <c r="G541" s="54">
        <f t="shared" si="150"/>
        <v>0</v>
      </c>
      <c r="H541" s="75">
        <f t="shared" si="157"/>
        <v>0</v>
      </c>
      <c r="I541" s="3">
        <f t="shared" si="158"/>
        <v>0</v>
      </c>
      <c r="J541" s="18">
        <f t="shared" si="159"/>
        <v>0</v>
      </c>
    </row>
    <row r="542" spans="2:10" x14ac:dyDescent="0.35">
      <c r="B542" s="32" t="s">
        <v>2544</v>
      </c>
      <c r="C542" s="5" t="s">
        <v>721</v>
      </c>
      <c r="D542" s="5" t="s">
        <v>526</v>
      </c>
      <c r="E542" s="3">
        <v>15485</v>
      </c>
      <c r="F542" s="3">
        <v>3995.34</v>
      </c>
      <c r="G542" s="54">
        <f t="shared" si="150"/>
        <v>6849.1542857142849</v>
      </c>
      <c r="H542" s="75">
        <v>7000</v>
      </c>
      <c r="I542" s="3">
        <f t="shared" si="158"/>
        <v>7385</v>
      </c>
      <c r="J542" s="18">
        <f t="shared" si="159"/>
        <v>7776.4049999999997</v>
      </c>
    </row>
    <row r="543" spans="2:10" x14ac:dyDescent="0.35">
      <c r="B543" s="32" t="s">
        <v>2544</v>
      </c>
      <c r="C543" s="5" t="s">
        <v>722</v>
      </c>
      <c r="D543" s="5" t="s">
        <v>197</v>
      </c>
      <c r="E543" s="3">
        <v>0</v>
      </c>
      <c r="F543" s="3">
        <v>0</v>
      </c>
      <c r="G543" s="54">
        <f t="shared" si="150"/>
        <v>0</v>
      </c>
      <c r="H543" s="75">
        <f t="shared" si="157"/>
        <v>0</v>
      </c>
      <c r="I543" s="3">
        <f t="shared" si="158"/>
        <v>0</v>
      </c>
      <c r="J543" s="18">
        <f t="shared" si="159"/>
        <v>0</v>
      </c>
    </row>
    <row r="544" spans="2:10" x14ac:dyDescent="0.35">
      <c r="B544" s="32" t="s">
        <v>2544</v>
      </c>
      <c r="C544" s="5" t="s">
        <v>723</v>
      </c>
      <c r="D544" s="5" t="s">
        <v>42</v>
      </c>
      <c r="E544" s="3">
        <v>41999</v>
      </c>
      <c r="F544" s="3">
        <v>53843.92</v>
      </c>
      <c r="G544" s="54">
        <f t="shared" si="150"/>
        <v>92303.862857142856</v>
      </c>
      <c r="H544" s="75">
        <f t="shared" si="157"/>
        <v>97657.486902857141</v>
      </c>
      <c r="I544" s="3">
        <f t="shared" si="158"/>
        <v>103028.64868251428</v>
      </c>
      <c r="J544" s="18">
        <f t="shared" si="159"/>
        <v>108489.16706268753</v>
      </c>
    </row>
    <row r="545" spans="2:13" x14ac:dyDescent="0.35">
      <c r="B545" s="32" t="s">
        <v>2544</v>
      </c>
      <c r="C545" s="5" t="s">
        <v>724</v>
      </c>
      <c r="D545" s="5" t="s">
        <v>44</v>
      </c>
      <c r="E545" s="3">
        <v>6254</v>
      </c>
      <c r="F545" s="3">
        <v>2226.71</v>
      </c>
      <c r="G545" s="54">
        <f t="shared" si="150"/>
        <v>3817.2171428571428</v>
      </c>
      <c r="H545" s="75">
        <f t="shared" si="157"/>
        <v>4038.6157371428571</v>
      </c>
      <c r="I545" s="3">
        <f t="shared" si="158"/>
        <v>4260.7396026857141</v>
      </c>
      <c r="J545" s="18">
        <f t="shared" si="159"/>
        <v>4486.5588016280562</v>
      </c>
    </row>
    <row r="546" spans="2:13" x14ac:dyDescent="0.35">
      <c r="B546" s="32" t="s">
        <v>2544</v>
      </c>
      <c r="C546" s="5" t="s">
        <v>725</v>
      </c>
      <c r="D546" s="5" t="s">
        <v>46</v>
      </c>
      <c r="E546" s="3">
        <v>4612</v>
      </c>
      <c r="F546" s="3">
        <v>168.56</v>
      </c>
      <c r="G546" s="54">
        <f t="shared" si="150"/>
        <v>288.96000000000004</v>
      </c>
      <c r="H546" s="75">
        <f t="shared" si="157"/>
        <v>305.71968000000004</v>
      </c>
      <c r="I546" s="3">
        <f t="shared" si="158"/>
        <v>322.53426240000005</v>
      </c>
      <c r="J546" s="18">
        <f t="shared" si="159"/>
        <v>339.62857830720003</v>
      </c>
    </row>
    <row r="547" spans="2:13" x14ac:dyDescent="0.35">
      <c r="B547" s="32" t="s">
        <v>2544</v>
      </c>
      <c r="C547" s="5" t="s">
        <v>726</v>
      </c>
      <c r="D547" s="5" t="s">
        <v>48</v>
      </c>
      <c r="E547" s="3">
        <v>0</v>
      </c>
      <c r="F547" s="3">
        <v>0</v>
      </c>
      <c r="G547" s="54">
        <f t="shared" si="150"/>
        <v>0</v>
      </c>
      <c r="H547" s="75">
        <f t="shared" si="157"/>
        <v>0</v>
      </c>
      <c r="I547" s="3">
        <f t="shared" si="158"/>
        <v>0</v>
      </c>
      <c r="J547" s="18">
        <f t="shared" si="159"/>
        <v>0</v>
      </c>
    </row>
    <row r="548" spans="2:13" x14ac:dyDescent="0.35">
      <c r="B548" s="32" t="s">
        <v>2544</v>
      </c>
      <c r="C548" s="5" t="s">
        <v>727</v>
      </c>
      <c r="D548" s="5" t="s">
        <v>50</v>
      </c>
      <c r="E548" s="3">
        <v>4612</v>
      </c>
      <c r="F548" s="3">
        <v>1598.13</v>
      </c>
      <c r="G548" s="54">
        <f t="shared" si="150"/>
        <v>2739.6514285714288</v>
      </c>
      <c r="H548" s="75">
        <f t="shared" si="157"/>
        <v>2898.5512114285721</v>
      </c>
      <c r="I548" s="3">
        <f t="shared" si="158"/>
        <v>3057.9715280571431</v>
      </c>
      <c r="J548" s="18">
        <f t="shared" si="159"/>
        <v>3220.0440190441714</v>
      </c>
    </row>
    <row r="549" spans="2:13" x14ac:dyDescent="0.35">
      <c r="B549" s="32" t="s">
        <v>2544</v>
      </c>
      <c r="C549" s="5" t="s">
        <v>728</v>
      </c>
      <c r="D549" s="5" t="s">
        <v>331</v>
      </c>
      <c r="E549" s="3">
        <v>0</v>
      </c>
      <c r="F549" s="3">
        <v>0</v>
      </c>
      <c r="G549" s="54">
        <f t="shared" si="150"/>
        <v>0</v>
      </c>
      <c r="H549" s="75">
        <f t="shared" si="157"/>
        <v>0</v>
      </c>
      <c r="I549" s="3">
        <f t="shared" si="158"/>
        <v>0</v>
      </c>
      <c r="J549" s="18">
        <f t="shared" si="159"/>
        <v>0</v>
      </c>
    </row>
    <row r="550" spans="2:13" x14ac:dyDescent="0.35">
      <c r="B550" s="32" t="s">
        <v>2544</v>
      </c>
      <c r="C550" s="5" t="s">
        <v>729</v>
      </c>
      <c r="D550" s="5" t="s">
        <v>52</v>
      </c>
      <c r="E550" s="3">
        <v>0</v>
      </c>
      <c r="F550" s="3">
        <v>0</v>
      </c>
      <c r="G550" s="54">
        <f t="shared" si="150"/>
        <v>0</v>
      </c>
      <c r="H550" s="75">
        <f t="shared" si="157"/>
        <v>0</v>
      </c>
      <c r="I550" s="3">
        <f t="shared" si="158"/>
        <v>0</v>
      </c>
      <c r="J550" s="18">
        <f t="shared" si="159"/>
        <v>0</v>
      </c>
    </row>
    <row r="551" spans="2:13" x14ac:dyDescent="0.35">
      <c r="B551" s="32" t="s">
        <v>2544</v>
      </c>
      <c r="C551" s="5" t="s">
        <v>730</v>
      </c>
      <c r="D551" s="5" t="s">
        <v>298</v>
      </c>
      <c r="E551" s="3">
        <v>439000</v>
      </c>
      <c r="F551" s="3">
        <v>0</v>
      </c>
      <c r="G551" s="54">
        <f t="shared" si="150"/>
        <v>0</v>
      </c>
      <c r="H551" s="62">
        <f>+G551*1.06</f>
        <v>0</v>
      </c>
      <c r="I551" s="3">
        <f t="shared" si="158"/>
        <v>0</v>
      </c>
      <c r="J551" s="18">
        <f t="shared" si="159"/>
        <v>0</v>
      </c>
    </row>
    <row r="552" spans="2:13" x14ac:dyDescent="0.35">
      <c r="B552" s="32" t="s">
        <v>2544</v>
      </c>
      <c r="C552" s="5" t="s">
        <v>731</v>
      </c>
      <c r="D552" s="5" t="s">
        <v>64</v>
      </c>
      <c r="E552" s="3">
        <v>534000</v>
      </c>
      <c r="F552" s="3">
        <v>0</v>
      </c>
      <c r="G552" s="54">
        <f t="shared" si="150"/>
        <v>0</v>
      </c>
      <c r="H552" s="62">
        <f t="shared" ref="H552:H580" si="160">+G552*1.06</f>
        <v>0</v>
      </c>
      <c r="I552" s="3">
        <f t="shared" si="158"/>
        <v>0</v>
      </c>
      <c r="J552" s="18">
        <f t="shared" si="159"/>
        <v>0</v>
      </c>
    </row>
    <row r="553" spans="2:13" x14ac:dyDescent="0.35">
      <c r="B553" s="32" t="s">
        <v>2544</v>
      </c>
      <c r="C553" s="5" t="s">
        <v>732</v>
      </c>
      <c r="D553" s="5" t="s">
        <v>66</v>
      </c>
      <c r="E553" s="3">
        <v>0</v>
      </c>
      <c r="F553" s="3">
        <v>0</v>
      </c>
      <c r="G553" s="54">
        <f t="shared" si="150"/>
        <v>0</v>
      </c>
      <c r="H553" s="62">
        <f t="shared" si="160"/>
        <v>0</v>
      </c>
      <c r="I553" s="3">
        <f t="shared" si="158"/>
        <v>0</v>
      </c>
      <c r="J553" s="18">
        <f t="shared" si="159"/>
        <v>0</v>
      </c>
    </row>
    <row r="554" spans="2:13" x14ac:dyDescent="0.35">
      <c r="B554" s="32"/>
      <c r="C554" s="5"/>
      <c r="D554" s="5" t="s">
        <v>2645</v>
      </c>
      <c r="E554" s="3"/>
      <c r="F554" s="3"/>
      <c r="G554" s="54"/>
      <c r="H554" s="62"/>
      <c r="I554" s="3"/>
      <c r="J554" s="18"/>
    </row>
    <row r="555" spans="2:13" x14ac:dyDescent="0.35">
      <c r="B555" s="32" t="s">
        <v>2544</v>
      </c>
      <c r="C555" s="5" t="s">
        <v>733</v>
      </c>
      <c r="D555" s="5" t="s">
        <v>68</v>
      </c>
      <c r="E555" s="3">
        <v>0</v>
      </c>
      <c r="F555" s="3">
        <v>0</v>
      </c>
      <c r="G555" s="54">
        <f t="shared" ref="G555:G629" si="161">+F555/7*12</f>
        <v>0</v>
      </c>
      <c r="H555" s="62">
        <f t="shared" si="160"/>
        <v>0</v>
      </c>
      <c r="I555" s="3">
        <f t="shared" si="158"/>
        <v>0</v>
      </c>
      <c r="J555" s="18">
        <f t="shared" si="159"/>
        <v>0</v>
      </c>
    </row>
    <row r="556" spans="2:13" x14ac:dyDescent="0.35">
      <c r="B556" s="32" t="s">
        <v>2544</v>
      </c>
      <c r="C556" s="5" t="s">
        <v>734</v>
      </c>
      <c r="D556" s="5" t="s">
        <v>735</v>
      </c>
      <c r="E556" s="3">
        <v>140500</v>
      </c>
      <c r="F556" s="3">
        <v>81057.119999999995</v>
      </c>
      <c r="G556" s="54">
        <f t="shared" si="161"/>
        <v>138955.06285714285</v>
      </c>
      <c r="H556" s="62">
        <f t="shared" si="160"/>
        <v>147292.36662857144</v>
      </c>
      <c r="I556" s="3">
        <f t="shared" si="158"/>
        <v>155393.44679314285</v>
      </c>
      <c r="J556" s="18">
        <f t="shared" si="159"/>
        <v>163629.29947317942</v>
      </c>
      <c r="K556" t="s">
        <v>2634</v>
      </c>
      <c r="M556">
        <v>19500</v>
      </c>
    </row>
    <row r="557" spans="2:13" x14ac:dyDescent="0.35">
      <c r="B557" s="32" t="s">
        <v>2544</v>
      </c>
      <c r="C557" s="5" t="s">
        <v>736</v>
      </c>
      <c r="D557" s="5" t="s">
        <v>737</v>
      </c>
      <c r="E557" s="3">
        <v>6300000</v>
      </c>
      <c r="F557" s="3">
        <f>3232848.87-300174.28</f>
        <v>2932674.59</v>
      </c>
      <c r="G557" s="54">
        <f t="shared" si="161"/>
        <v>5027442.154285714</v>
      </c>
      <c r="H557" s="62">
        <f>+G557*1.1424</f>
        <v>5743349.9170559999</v>
      </c>
      <c r="I557" s="3">
        <f t="shared" si="158"/>
        <v>6059234.1624940792</v>
      </c>
      <c r="J557" s="18">
        <f t="shared" si="159"/>
        <v>6380373.5731062647</v>
      </c>
    </row>
    <row r="558" spans="2:13" x14ac:dyDescent="0.35">
      <c r="B558" s="32" t="s">
        <v>2544</v>
      </c>
      <c r="C558" s="5" t="s">
        <v>738</v>
      </c>
      <c r="D558" s="5" t="s">
        <v>739</v>
      </c>
      <c r="E558" s="3">
        <v>500000</v>
      </c>
      <c r="F558" s="3">
        <f>529294.53-1992.91</f>
        <v>527301.62</v>
      </c>
      <c r="G558" s="54">
        <f t="shared" si="161"/>
        <v>903945.63428571424</v>
      </c>
      <c r="H558" s="62">
        <f>+G558*1.1424</f>
        <v>1032667.4926080001</v>
      </c>
      <c r="I558" s="3">
        <f t="shared" si="158"/>
        <v>1089464.2047014399</v>
      </c>
      <c r="J558" s="18">
        <f t="shared" si="159"/>
        <v>1147205.8075506161</v>
      </c>
    </row>
    <row r="559" spans="2:13" x14ac:dyDescent="0.35">
      <c r="B559" s="32"/>
      <c r="C559" s="5"/>
      <c r="D559" s="5" t="s">
        <v>2628</v>
      </c>
      <c r="E559" s="3"/>
      <c r="F559" s="3"/>
      <c r="G559" s="54"/>
      <c r="H559" s="62"/>
      <c r="I559" s="3"/>
      <c r="J559" s="18"/>
    </row>
    <row r="560" spans="2:13" x14ac:dyDescent="0.35">
      <c r="B560" s="32"/>
      <c r="C560" s="5"/>
      <c r="D560" s="11" t="s">
        <v>2635</v>
      </c>
      <c r="E560" s="3"/>
      <c r="F560" s="3"/>
      <c r="G560" s="54"/>
      <c r="H560" s="62">
        <v>1000</v>
      </c>
      <c r="I560" s="3"/>
      <c r="J560" s="18"/>
    </row>
    <row r="561" spans="2:13" x14ac:dyDescent="0.35">
      <c r="B561" s="32"/>
      <c r="C561" s="5"/>
      <c r="D561" s="11" t="s">
        <v>2636</v>
      </c>
      <c r="E561" s="3"/>
      <c r="F561" s="3"/>
      <c r="G561" s="54"/>
      <c r="H561" s="62">
        <v>500</v>
      </c>
      <c r="I561" s="3"/>
      <c r="J561" s="18"/>
    </row>
    <row r="562" spans="2:13" x14ac:dyDescent="0.35">
      <c r="B562" s="32" t="s">
        <v>2544</v>
      </c>
      <c r="C562" s="5" t="s">
        <v>740</v>
      </c>
      <c r="D562" s="5" t="s">
        <v>741</v>
      </c>
      <c r="E562" s="3">
        <v>4000</v>
      </c>
      <c r="F562" s="3">
        <v>0</v>
      </c>
      <c r="G562" s="54">
        <f t="shared" si="161"/>
        <v>0</v>
      </c>
      <c r="H562" s="62">
        <f t="shared" si="160"/>
        <v>0</v>
      </c>
      <c r="I562" s="3">
        <f t="shared" si="158"/>
        <v>0</v>
      </c>
      <c r="J562" s="18">
        <f t="shared" si="159"/>
        <v>0</v>
      </c>
    </row>
    <row r="563" spans="2:13" x14ac:dyDescent="0.35">
      <c r="B563" s="32" t="s">
        <v>2544</v>
      </c>
      <c r="C563" s="5" t="s">
        <v>742</v>
      </c>
      <c r="D563" s="5" t="s">
        <v>90</v>
      </c>
      <c r="E563" s="3">
        <v>6000</v>
      </c>
      <c r="F563" s="3">
        <v>6000</v>
      </c>
      <c r="G563" s="54">
        <f t="shared" si="161"/>
        <v>10285.714285714286</v>
      </c>
      <c r="H563" s="62">
        <f t="shared" si="160"/>
        <v>10902.857142857143</v>
      </c>
      <c r="I563" s="3">
        <f t="shared" si="158"/>
        <v>11502.514285714286</v>
      </c>
      <c r="J563" s="18">
        <f t="shared" si="159"/>
        <v>12112.147542857141</v>
      </c>
    </row>
    <row r="564" spans="2:13" x14ac:dyDescent="0.35">
      <c r="B564" s="32" t="s">
        <v>2544</v>
      </c>
      <c r="C564" s="5" t="s">
        <v>743</v>
      </c>
      <c r="D564" s="5" t="s">
        <v>440</v>
      </c>
      <c r="E564" s="3">
        <v>0</v>
      </c>
      <c r="F564" s="3">
        <v>0</v>
      </c>
      <c r="G564" s="54">
        <f t="shared" si="161"/>
        <v>0</v>
      </c>
      <c r="H564" s="75">
        <v>2000</v>
      </c>
      <c r="I564" s="3">
        <f t="shared" si="158"/>
        <v>2110</v>
      </c>
      <c r="J564" s="18">
        <f t="shared" si="159"/>
        <v>2221.83</v>
      </c>
    </row>
    <row r="565" spans="2:13" x14ac:dyDescent="0.35">
      <c r="B565" s="32" t="s">
        <v>2544</v>
      </c>
      <c r="C565" s="5" t="s">
        <v>744</v>
      </c>
      <c r="D565" s="5" t="s">
        <v>94</v>
      </c>
      <c r="E565" s="3">
        <v>0</v>
      </c>
      <c r="F565" s="3">
        <v>0</v>
      </c>
      <c r="G565" s="54">
        <f t="shared" si="161"/>
        <v>0</v>
      </c>
      <c r="H565" s="62">
        <f t="shared" si="160"/>
        <v>0</v>
      </c>
      <c r="I565" s="3">
        <f t="shared" si="158"/>
        <v>0</v>
      </c>
      <c r="J565" s="18">
        <f t="shared" si="159"/>
        <v>0</v>
      </c>
      <c r="K565" t="s">
        <v>2629</v>
      </c>
    </row>
    <row r="566" spans="2:13" x14ac:dyDescent="0.35">
      <c r="B566" s="32" t="s">
        <v>2544</v>
      </c>
      <c r="C566" s="5" t="s">
        <v>745</v>
      </c>
      <c r="D566" s="5" t="s">
        <v>543</v>
      </c>
      <c r="E566" s="3">
        <v>20000</v>
      </c>
      <c r="F566" s="3">
        <v>7672.46</v>
      </c>
      <c r="G566" s="54">
        <f t="shared" si="161"/>
        <v>13152.788571428569</v>
      </c>
      <c r="H566" s="75">
        <v>15000</v>
      </c>
      <c r="I566" s="3">
        <f t="shared" si="158"/>
        <v>15824.999999999998</v>
      </c>
      <c r="J566" s="18">
        <f t="shared" si="159"/>
        <v>16663.724999999999</v>
      </c>
      <c r="K566" t="s">
        <v>2630</v>
      </c>
    </row>
    <row r="567" spans="2:13" x14ac:dyDescent="0.35">
      <c r="B567" s="32" t="s">
        <v>2544</v>
      </c>
      <c r="C567" s="5" t="s">
        <v>746</v>
      </c>
      <c r="D567" s="5" t="s">
        <v>98</v>
      </c>
      <c r="E567" s="3">
        <v>10000</v>
      </c>
      <c r="F567" s="3">
        <v>9130.7900000000009</v>
      </c>
      <c r="G567" s="54">
        <f t="shared" si="161"/>
        <v>15652.782857142858</v>
      </c>
      <c r="H567" s="75">
        <v>18000</v>
      </c>
      <c r="I567" s="3">
        <f t="shared" si="158"/>
        <v>18990</v>
      </c>
      <c r="J567" s="18">
        <f t="shared" si="159"/>
        <v>19996.469999999998</v>
      </c>
    </row>
    <row r="568" spans="2:13" x14ac:dyDescent="0.35">
      <c r="B568" s="32" t="s">
        <v>2544</v>
      </c>
      <c r="C568" s="5" t="s">
        <v>747</v>
      </c>
      <c r="D568" s="5" t="s">
        <v>748</v>
      </c>
      <c r="E568" s="3">
        <v>0</v>
      </c>
      <c r="F568" s="3">
        <v>0</v>
      </c>
      <c r="G568" s="54">
        <f t="shared" si="161"/>
        <v>0</v>
      </c>
      <c r="H568" s="62">
        <f t="shared" si="160"/>
        <v>0</v>
      </c>
      <c r="I568" s="3">
        <f t="shared" si="158"/>
        <v>0</v>
      </c>
      <c r="J568" s="18">
        <f t="shared" si="159"/>
        <v>0</v>
      </c>
    </row>
    <row r="569" spans="2:13" x14ac:dyDescent="0.35">
      <c r="B569" s="32" t="s">
        <v>2544</v>
      </c>
      <c r="C569" s="5" t="s">
        <v>749</v>
      </c>
      <c r="D569" s="5" t="s">
        <v>750</v>
      </c>
      <c r="E569" s="3">
        <v>0</v>
      </c>
      <c r="F569" s="3">
        <v>0</v>
      </c>
      <c r="G569" s="54">
        <f t="shared" si="161"/>
        <v>0</v>
      </c>
      <c r="H569" s="62">
        <f t="shared" si="160"/>
        <v>0</v>
      </c>
      <c r="I569" s="3">
        <f t="shared" si="158"/>
        <v>0</v>
      </c>
      <c r="J569" s="18">
        <f t="shared" si="159"/>
        <v>0</v>
      </c>
      <c r="K569" t="s">
        <v>2631</v>
      </c>
    </row>
    <row r="570" spans="2:13" x14ac:dyDescent="0.35">
      <c r="B570" s="32" t="s">
        <v>2544</v>
      </c>
      <c r="C570" s="5" t="s">
        <v>751</v>
      </c>
      <c r="D570" s="5" t="s">
        <v>752</v>
      </c>
      <c r="E570" s="3">
        <v>153000</v>
      </c>
      <c r="F570" s="3">
        <v>94491.34</v>
      </c>
      <c r="G570" s="54">
        <f t="shared" si="161"/>
        <v>161985.15428571426</v>
      </c>
      <c r="H570" s="62">
        <f t="shared" si="160"/>
        <v>171704.26354285714</v>
      </c>
      <c r="I570" s="3">
        <f t="shared" si="158"/>
        <v>181147.99803771428</v>
      </c>
      <c r="J570" s="18">
        <f t="shared" si="159"/>
        <v>190748.84193371312</v>
      </c>
      <c r="K570" t="s">
        <v>2634</v>
      </c>
      <c r="M570">
        <v>51500</v>
      </c>
    </row>
    <row r="571" spans="2:13" x14ac:dyDescent="0.35">
      <c r="B571" s="32" t="s">
        <v>2544</v>
      </c>
      <c r="C571" s="5" t="s">
        <v>753</v>
      </c>
      <c r="D571" s="5" t="s">
        <v>669</v>
      </c>
      <c r="E571" s="3">
        <v>40000</v>
      </c>
      <c r="F571" s="3">
        <f>44908.33-20.2</f>
        <v>44888.130000000005</v>
      </c>
      <c r="G571" s="54">
        <f t="shared" si="161"/>
        <v>76951.080000000016</v>
      </c>
      <c r="H571" s="75">
        <v>80000</v>
      </c>
      <c r="I571" s="3">
        <f t="shared" si="158"/>
        <v>84400</v>
      </c>
      <c r="J571" s="18">
        <f t="shared" si="159"/>
        <v>88873.2</v>
      </c>
    </row>
    <row r="572" spans="2:13" x14ac:dyDescent="0.35">
      <c r="B572" s="32" t="s">
        <v>2544</v>
      </c>
      <c r="C572" s="5" t="s">
        <v>754</v>
      </c>
      <c r="D572" s="5" t="s">
        <v>671</v>
      </c>
      <c r="E572" s="3">
        <v>10000</v>
      </c>
      <c r="F572" s="3">
        <v>2875.27</v>
      </c>
      <c r="G572" s="54">
        <f t="shared" si="161"/>
        <v>4929.0342857142859</v>
      </c>
      <c r="H572" s="75">
        <v>10000</v>
      </c>
      <c r="I572" s="3">
        <f t="shared" si="158"/>
        <v>10550</v>
      </c>
      <c r="J572" s="18">
        <f t="shared" si="159"/>
        <v>11109.15</v>
      </c>
    </row>
    <row r="573" spans="2:13" x14ac:dyDescent="0.35">
      <c r="B573" s="32"/>
      <c r="C573" s="5"/>
      <c r="D573" s="5" t="s">
        <v>2632</v>
      </c>
      <c r="E573" s="3"/>
      <c r="F573" s="3"/>
      <c r="G573" s="54"/>
      <c r="H573" s="75">
        <v>33000</v>
      </c>
      <c r="I573" s="3">
        <f t="shared" si="158"/>
        <v>34815</v>
      </c>
      <c r="J573" s="18">
        <f t="shared" si="159"/>
        <v>36660.195</v>
      </c>
    </row>
    <row r="574" spans="2:13" x14ac:dyDescent="0.35">
      <c r="B574" s="32"/>
      <c r="C574" s="5"/>
      <c r="D574" s="5" t="s">
        <v>2633</v>
      </c>
      <c r="E574" s="3"/>
      <c r="F574" s="3"/>
      <c r="G574" s="54"/>
      <c r="H574" s="75">
        <v>25000</v>
      </c>
      <c r="I574" s="3">
        <f t="shared" si="158"/>
        <v>26375</v>
      </c>
      <c r="J574" s="18">
        <f t="shared" si="159"/>
        <v>27772.875</v>
      </c>
    </row>
    <row r="575" spans="2:13" x14ac:dyDescent="0.35">
      <c r="B575" s="32"/>
      <c r="C575" s="5"/>
      <c r="D575" s="5" t="s">
        <v>2647</v>
      </c>
      <c r="E575" s="3"/>
      <c r="F575" s="3"/>
      <c r="G575" s="54"/>
      <c r="H575" s="75">
        <v>15000</v>
      </c>
      <c r="I575" s="3">
        <f t="shared" si="158"/>
        <v>15824.999999999998</v>
      </c>
      <c r="J575" s="18">
        <f t="shared" si="159"/>
        <v>16663.724999999999</v>
      </c>
    </row>
    <row r="576" spans="2:13" x14ac:dyDescent="0.35">
      <c r="B576" s="32" t="s">
        <v>2544</v>
      </c>
      <c r="C576" s="5" t="s">
        <v>755</v>
      </c>
      <c r="D576" s="5" t="s">
        <v>756</v>
      </c>
      <c r="E576" s="3">
        <v>0</v>
      </c>
      <c r="F576" s="3">
        <v>0</v>
      </c>
      <c r="G576" s="54">
        <f t="shared" si="161"/>
        <v>0</v>
      </c>
      <c r="H576" s="62">
        <f t="shared" si="160"/>
        <v>0</v>
      </c>
      <c r="I576" s="3">
        <f t="shared" si="158"/>
        <v>0</v>
      </c>
      <c r="J576" s="18">
        <f t="shared" si="159"/>
        <v>0</v>
      </c>
    </row>
    <row r="577" spans="1:13" x14ac:dyDescent="0.35">
      <c r="B577" s="32" t="s">
        <v>2544</v>
      </c>
      <c r="C577" s="5" t="s">
        <v>757</v>
      </c>
      <c r="D577" s="5" t="s">
        <v>120</v>
      </c>
      <c r="E577" s="3">
        <v>0</v>
      </c>
      <c r="F577" s="3">
        <v>0</v>
      </c>
      <c r="G577" s="54">
        <f t="shared" si="161"/>
        <v>0</v>
      </c>
      <c r="H577" s="62">
        <f t="shared" si="160"/>
        <v>0</v>
      </c>
      <c r="I577" s="3">
        <f t="shared" si="158"/>
        <v>0</v>
      </c>
      <c r="J577" s="18">
        <f t="shared" si="159"/>
        <v>0</v>
      </c>
    </row>
    <row r="578" spans="1:13" x14ac:dyDescent="0.35">
      <c r="B578" s="32" t="s">
        <v>2544</v>
      </c>
      <c r="C578" s="5" t="s">
        <v>758</v>
      </c>
      <c r="D578" s="72" t="s">
        <v>2607</v>
      </c>
      <c r="E578" s="3">
        <v>0</v>
      </c>
      <c r="F578" s="3">
        <v>0</v>
      </c>
      <c r="G578" s="54">
        <f t="shared" si="161"/>
        <v>0</v>
      </c>
      <c r="H578" s="75">
        <v>140000</v>
      </c>
      <c r="I578" s="3">
        <f t="shared" si="158"/>
        <v>147700</v>
      </c>
      <c r="J578" s="18">
        <f t="shared" si="159"/>
        <v>155528.09999999998</v>
      </c>
    </row>
    <row r="579" spans="1:13" x14ac:dyDescent="0.35">
      <c r="B579" s="32" t="s">
        <v>2544</v>
      </c>
      <c r="C579" s="5" t="s">
        <v>759</v>
      </c>
      <c r="D579" s="5" t="s">
        <v>760</v>
      </c>
      <c r="E579" s="3">
        <v>2546267</v>
      </c>
      <c r="F579" s="3">
        <v>0</v>
      </c>
      <c r="G579" s="54">
        <f t="shared" si="161"/>
        <v>0</v>
      </c>
      <c r="H579" s="62">
        <f t="shared" si="160"/>
        <v>0</v>
      </c>
      <c r="I579" s="3">
        <f t="shared" si="158"/>
        <v>0</v>
      </c>
      <c r="J579" s="18">
        <f t="shared" si="159"/>
        <v>0</v>
      </c>
    </row>
    <row r="580" spans="1:13" x14ac:dyDescent="0.35">
      <c r="B580" s="32" t="s">
        <v>2544</v>
      </c>
      <c r="C580" s="5" t="s">
        <v>761</v>
      </c>
      <c r="D580" s="5" t="s">
        <v>368</v>
      </c>
      <c r="E580" s="3">
        <f>567100+95000</f>
        <v>662100</v>
      </c>
      <c r="F580" s="3">
        <f>326081.02+59335.68+4927.95</f>
        <v>390344.65</v>
      </c>
      <c r="G580" s="54">
        <f t="shared" si="161"/>
        <v>669162.25714285718</v>
      </c>
      <c r="H580" s="62">
        <f t="shared" si="160"/>
        <v>709311.99257142865</v>
      </c>
      <c r="I580" s="3">
        <f t="shared" si="158"/>
        <v>748324.15216285724</v>
      </c>
      <c r="J580" s="18">
        <f t="shared" si="159"/>
        <v>787985.33222748863</v>
      </c>
    </row>
    <row r="581" spans="1:13" x14ac:dyDescent="0.35">
      <c r="B581" s="32" t="s">
        <v>2544</v>
      </c>
      <c r="C581" s="5" t="s">
        <v>762</v>
      </c>
      <c r="D581" s="5" t="s">
        <v>124</v>
      </c>
      <c r="E581" s="3">
        <v>0</v>
      </c>
      <c r="F581" s="3">
        <v>0</v>
      </c>
      <c r="G581" s="54">
        <f t="shared" si="161"/>
        <v>0</v>
      </c>
      <c r="H581" s="62">
        <v>50000</v>
      </c>
      <c r="I581" s="3">
        <f t="shared" si="158"/>
        <v>52750</v>
      </c>
      <c r="J581" s="18">
        <f t="shared" si="159"/>
        <v>55545.75</v>
      </c>
      <c r="K581" t="s">
        <v>2634</v>
      </c>
      <c r="M581">
        <v>295000</v>
      </c>
    </row>
    <row r="582" spans="1:13" s="8" customFormat="1" x14ac:dyDescent="0.35">
      <c r="B582" s="33" t="s">
        <v>2546</v>
      </c>
      <c r="C582" s="5"/>
      <c r="D582" s="5"/>
      <c r="E582" s="10">
        <f>SUM(E538:E581)</f>
        <v>11937409</v>
      </c>
      <c r="F582" s="10">
        <f t="shared" ref="F582:G582" si="162">SUM(F538:F581)</f>
        <v>4455026.01</v>
      </c>
      <c r="G582" s="59">
        <f t="shared" si="162"/>
        <v>7637187.4457142856</v>
      </c>
      <c r="H582" s="63">
        <f t="shared" ref="H582:J582" si="163">SUM(H538:H581)</f>
        <v>8855704.5865211431</v>
      </c>
      <c r="I582" s="10">
        <f t="shared" si="163"/>
        <v>9341185.8387798052</v>
      </c>
      <c r="J582" s="22">
        <f t="shared" si="163"/>
        <v>9836268.688235132</v>
      </c>
    </row>
    <row r="583" spans="1:13" s="8" customFormat="1" ht="8.25" customHeight="1" x14ac:dyDescent="0.35">
      <c r="B583" s="23"/>
      <c r="E583" s="39"/>
      <c r="F583" s="39"/>
      <c r="G583" s="39"/>
      <c r="H583" s="68"/>
      <c r="I583" s="39"/>
      <c r="J583" s="40"/>
    </row>
    <row r="584" spans="1:13" s="8" customFormat="1" ht="15" thickBot="1" x14ac:dyDescent="0.4">
      <c r="B584" s="35" t="s">
        <v>2548</v>
      </c>
      <c r="C584" s="25"/>
      <c r="D584" s="25"/>
      <c r="E584" s="26">
        <f>+E536+E582</f>
        <v>1257913</v>
      </c>
      <c r="F584" s="26">
        <f t="shared" ref="F584:G584" si="164">+F536+F582</f>
        <v>-566110.75</v>
      </c>
      <c r="G584" s="60">
        <f t="shared" si="164"/>
        <v>-970475.5714285709</v>
      </c>
      <c r="H584" s="65">
        <f t="shared" ref="H584:J584" si="165">+H536+H582</f>
        <v>-1240793.1308439989</v>
      </c>
      <c r="I584" s="26">
        <f t="shared" si="165"/>
        <v>-1310619.253040418</v>
      </c>
      <c r="J584" s="27">
        <f t="shared" si="165"/>
        <v>-1380082.0734515619</v>
      </c>
    </row>
    <row r="585" spans="1:13" s="8" customFormat="1" x14ac:dyDescent="0.35">
      <c r="E585" s="9"/>
      <c r="F585" s="9"/>
      <c r="G585" s="9"/>
      <c r="H585" s="9"/>
      <c r="I585" s="9"/>
      <c r="J585" s="9"/>
    </row>
    <row r="586" spans="1:13" s="8" customFormat="1" x14ac:dyDescent="0.35">
      <c r="E586" s="9"/>
      <c r="F586" s="9"/>
      <c r="G586" s="9"/>
      <c r="H586" s="9"/>
      <c r="I586" s="9"/>
      <c r="J586" s="9"/>
    </row>
    <row r="587" spans="1:13" s="8" customFormat="1" ht="15" thickBot="1" x14ac:dyDescent="0.4">
      <c r="A587" s="12" t="s">
        <v>2565</v>
      </c>
      <c r="B587" s="28" t="s">
        <v>2565</v>
      </c>
      <c r="E587" s="9"/>
      <c r="F587" s="9"/>
      <c r="G587" s="9"/>
      <c r="H587" s="9"/>
      <c r="I587" s="9"/>
      <c r="J587" s="9"/>
    </row>
    <row r="588" spans="1:13" x14ac:dyDescent="0.35">
      <c r="B588" s="31" t="s">
        <v>2543</v>
      </c>
      <c r="C588" s="14" t="s">
        <v>763</v>
      </c>
      <c r="D588" s="14" t="s">
        <v>764</v>
      </c>
      <c r="E588" s="15">
        <v>-3300000</v>
      </c>
      <c r="F588" s="15">
        <f>2855.73-1736341.8</f>
        <v>-1733486.07</v>
      </c>
      <c r="G588" s="58">
        <f t="shared" si="161"/>
        <v>-2971690.4057142856</v>
      </c>
      <c r="H588" s="61">
        <f>+G588*1.06</f>
        <v>-3149991.8300571428</v>
      </c>
      <c r="I588" s="15">
        <f>+H588*1.055</f>
        <v>-3323241.3807102856</v>
      </c>
      <c r="J588" s="16">
        <f>+I588*1.053</f>
        <v>-3499373.1738879303</v>
      </c>
    </row>
    <row r="589" spans="1:13" x14ac:dyDescent="0.35">
      <c r="B589" s="32" t="s">
        <v>2543</v>
      </c>
      <c r="C589" s="5" t="s">
        <v>765</v>
      </c>
      <c r="D589" s="5" t="s">
        <v>766</v>
      </c>
      <c r="E589" s="3">
        <v>600000</v>
      </c>
      <c r="F589" s="3">
        <v>369592.7</v>
      </c>
      <c r="G589" s="54">
        <f t="shared" si="161"/>
        <v>633587.48571428575</v>
      </c>
      <c r="H589" s="62"/>
      <c r="I589" s="3">
        <f t="shared" ref="I589:I598" si="166">+H589*1.055</f>
        <v>0</v>
      </c>
      <c r="J589" s="18">
        <f t="shared" ref="J589:J598" si="167">+I589*1.053</f>
        <v>0</v>
      </c>
    </row>
    <row r="590" spans="1:13" x14ac:dyDescent="0.35">
      <c r="B590" s="32" t="s">
        <v>2543</v>
      </c>
      <c r="C590" s="5" t="s">
        <v>767</v>
      </c>
      <c r="D590" s="5" t="s">
        <v>768</v>
      </c>
      <c r="E590" s="3">
        <v>0</v>
      </c>
      <c r="F590" s="3">
        <v>0</v>
      </c>
      <c r="G590" s="54">
        <f t="shared" si="161"/>
        <v>0</v>
      </c>
      <c r="H590" s="62">
        <f t="shared" ref="H590:H598" si="168">+G590*1.06</f>
        <v>0</v>
      </c>
      <c r="I590" s="3">
        <f t="shared" si="166"/>
        <v>0</v>
      </c>
      <c r="J590" s="18">
        <f t="shared" si="167"/>
        <v>0</v>
      </c>
    </row>
    <row r="591" spans="1:13" x14ac:dyDescent="0.35">
      <c r="B591" s="32" t="s">
        <v>2543</v>
      </c>
      <c r="C591" s="5" t="s">
        <v>769</v>
      </c>
      <c r="D591" s="11" t="s">
        <v>770</v>
      </c>
      <c r="E591" s="3">
        <v>0</v>
      </c>
      <c r="F591" s="3">
        <f>784.15-4265.54</f>
        <v>-3481.39</v>
      </c>
      <c r="G591" s="54">
        <f t="shared" si="161"/>
        <v>-5968.0971428571429</v>
      </c>
      <c r="H591" s="75">
        <v>-6000</v>
      </c>
      <c r="I591" s="3">
        <f t="shared" si="166"/>
        <v>-6330</v>
      </c>
      <c r="J591" s="18">
        <f t="shared" si="167"/>
        <v>-6665.49</v>
      </c>
    </row>
    <row r="592" spans="1:13" x14ac:dyDescent="0.35">
      <c r="B592" s="32"/>
      <c r="C592" s="5"/>
      <c r="D592" s="11" t="s">
        <v>2637</v>
      </c>
      <c r="E592" s="3"/>
      <c r="F592" s="3"/>
      <c r="G592" s="54"/>
      <c r="H592" s="75">
        <v>-15000</v>
      </c>
      <c r="I592" s="3"/>
      <c r="J592" s="18"/>
    </row>
    <row r="593" spans="2:10" x14ac:dyDescent="0.35">
      <c r="B593" s="32"/>
      <c r="C593" s="5"/>
      <c r="D593" s="11" t="s">
        <v>2626</v>
      </c>
      <c r="E593" s="3"/>
      <c r="F593" s="3"/>
      <c r="G593" s="54"/>
      <c r="H593" s="75">
        <v>-10000</v>
      </c>
      <c r="I593" s="3"/>
      <c r="J593" s="18"/>
    </row>
    <row r="594" spans="2:10" x14ac:dyDescent="0.35">
      <c r="B594" s="32"/>
      <c r="C594" s="5"/>
      <c r="D594" s="11" t="s">
        <v>2627</v>
      </c>
      <c r="E594" s="3"/>
      <c r="F594" s="3"/>
      <c r="G594" s="54"/>
      <c r="H594" s="75">
        <v>-5000</v>
      </c>
      <c r="I594" s="3"/>
      <c r="J594" s="18"/>
    </row>
    <row r="595" spans="2:10" x14ac:dyDescent="0.35">
      <c r="B595" s="32" t="s">
        <v>2543</v>
      </c>
      <c r="C595" s="5" t="s">
        <v>771</v>
      </c>
      <c r="D595" s="5" t="s">
        <v>126</v>
      </c>
      <c r="E595" s="3">
        <v>0</v>
      </c>
      <c r="F595" s="3">
        <v>0</v>
      </c>
      <c r="G595" s="54">
        <f t="shared" si="161"/>
        <v>0</v>
      </c>
      <c r="H595" s="62">
        <f t="shared" si="168"/>
        <v>0</v>
      </c>
      <c r="I595" s="3">
        <f t="shared" si="166"/>
        <v>0</v>
      </c>
      <c r="J595" s="18">
        <f t="shared" si="167"/>
        <v>0</v>
      </c>
    </row>
    <row r="596" spans="2:10" x14ac:dyDescent="0.35">
      <c r="B596" s="32" t="s">
        <v>2543</v>
      </c>
      <c r="C596" s="5" t="s">
        <v>772</v>
      </c>
      <c r="D596" s="5" t="s">
        <v>16</v>
      </c>
      <c r="E596" s="3">
        <v>-2800000</v>
      </c>
      <c r="F596" s="3">
        <v>0</v>
      </c>
      <c r="G596" s="54">
        <f t="shared" si="161"/>
        <v>0</v>
      </c>
      <c r="H596" s="62">
        <f t="shared" si="168"/>
        <v>0</v>
      </c>
      <c r="I596" s="3">
        <f t="shared" si="166"/>
        <v>0</v>
      </c>
      <c r="J596" s="18">
        <f t="shared" si="167"/>
        <v>0</v>
      </c>
    </row>
    <row r="597" spans="2:10" x14ac:dyDescent="0.35">
      <c r="B597" s="32" t="s">
        <v>2543</v>
      </c>
      <c r="C597" s="5" t="s">
        <v>773</v>
      </c>
      <c r="D597" s="5" t="s">
        <v>30</v>
      </c>
      <c r="E597" s="3">
        <v>0</v>
      </c>
      <c r="F597" s="3">
        <v>0</v>
      </c>
      <c r="G597" s="54">
        <f t="shared" si="161"/>
        <v>0</v>
      </c>
      <c r="H597" s="62">
        <f t="shared" si="168"/>
        <v>0</v>
      </c>
      <c r="I597" s="3">
        <f t="shared" si="166"/>
        <v>0</v>
      </c>
      <c r="J597" s="18">
        <f t="shared" si="167"/>
        <v>0</v>
      </c>
    </row>
    <row r="598" spans="2:10" x14ac:dyDescent="0.35">
      <c r="B598" s="32" t="s">
        <v>2543</v>
      </c>
      <c r="C598" s="5" t="s">
        <v>774</v>
      </c>
      <c r="D598" s="5" t="s">
        <v>32</v>
      </c>
      <c r="E598" s="3">
        <v>0</v>
      </c>
      <c r="F598" s="3">
        <v>0</v>
      </c>
      <c r="G598" s="54">
        <f t="shared" si="161"/>
        <v>0</v>
      </c>
      <c r="H598" s="62">
        <f t="shared" si="168"/>
        <v>0</v>
      </c>
      <c r="I598" s="3">
        <f t="shared" si="166"/>
        <v>0</v>
      </c>
      <c r="J598" s="18">
        <f t="shared" si="167"/>
        <v>0</v>
      </c>
    </row>
    <row r="599" spans="2:10" s="8" customFormat="1" x14ac:dyDescent="0.35">
      <c r="B599" s="33" t="s">
        <v>2545</v>
      </c>
      <c r="C599" s="5"/>
      <c r="D599" s="5"/>
      <c r="E599" s="10">
        <f>SUM(E586:E598)</f>
        <v>-5500000</v>
      </c>
      <c r="F599" s="10">
        <f t="shared" ref="F599:G599" si="169">SUM(F586:F598)</f>
        <v>-1367374.76</v>
      </c>
      <c r="G599" s="59">
        <f t="shared" si="169"/>
        <v>-2344071.017142857</v>
      </c>
      <c r="H599" s="63">
        <f t="shared" ref="H599:J599" si="170">SUM(H586:H598)</f>
        <v>-3185991.8300571428</v>
      </c>
      <c r="I599" s="10">
        <f t="shared" si="170"/>
        <v>-3329571.3807102856</v>
      </c>
      <c r="J599" s="22">
        <f t="shared" si="170"/>
        <v>-3506038.6638879306</v>
      </c>
    </row>
    <row r="600" spans="2:10" s="8" customFormat="1" x14ac:dyDescent="0.35">
      <c r="B600" s="23"/>
      <c r="E600" s="9"/>
      <c r="F600" s="9"/>
      <c r="G600" s="9"/>
      <c r="H600" s="64"/>
      <c r="I600" s="9"/>
      <c r="J600" s="21"/>
    </row>
    <row r="601" spans="2:10" x14ac:dyDescent="0.35">
      <c r="B601" s="44" t="s">
        <v>2544</v>
      </c>
      <c r="C601" s="5" t="s">
        <v>775</v>
      </c>
      <c r="D601" s="5" t="s">
        <v>34</v>
      </c>
      <c r="E601" s="3">
        <v>849678</v>
      </c>
      <c r="F601" s="3">
        <f>351265.58-829</f>
        <v>350436.58</v>
      </c>
      <c r="G601" s="54">
        <f t="shared" si="161"/>
        <v>600748.42285714287</v>
      </c>
      <c r="H601" s="75">
        <f>+G601*1.058</f>
        <v>635591.83138285717</v>
      </c>
      <c r="I601" s="3">
        <f>+H601*1.055</f>
        <v>670549.38210891432</v>
      </c>
      <c r="J601" s="18">
        <f>+I601*1.053</f>
        <v>706088.49936068675</v>
      </c>
    </row>
    <row r="602" spans="2:10" x14ac:dyDescent="0.35">
      <c r="B602" s="44" t="s">
        <v>2544</v>
      </c>
      <c r="C602" s="5" t="s">
        <v>776</v>
      </c>
      <c r="D602" s="5" t="s">
        <v>36</v>
      </c>
      <c r="E602" s="3">
        <v>70807</v>
      </c>
      <c r="F602" s="3">
        <v>57873.22</v>
      </c>
      <c r="G602" s="54">
        <f t="shared" si="161"/>
        <v>99211.234285714294</v>
      </c>
      <c r="H602" s="75">
        <f t="shared" ref="H602:H611" si="171">+G602*1.058</f>
        <v>104965.48587428573</v>
      </c>
      <c r="I602" s="3">
        <f t="shared" ref="I602:I635" si="172">+H602*1.055</f>
        <v>110738.58759737144</v>
      </c>
      <c r="J602" s="18">
        <f t="shared" ref="J602:J635" si="173">+I602*1.053</f>
        <v>116607.73274003212</v>
      </c>
    </row>
    <row r="603" spans="2:10" x14ac:dyDescent="0.35">
      <c r="B603" s="44" t="s">
        <v>2544</v>
      </c>
      <c r="C603" s="5" t="s">
        <v>777</v>
      </c>
      <c r="D603" s="5" t="s">
        <v>38</v>
      </c>
      <c r="E603" s="3">
        <v>68559</v>
      </c>
      <c r="F603" s="3">
        <v>18401.849999999999</v>
      </c>
      <c r="G603" s="54">
        <f t="shared" si="161"/>
        <v>31546.028571428567</v>
      </c>
      <c r="H603" s="75">
        <v>36000</v>
      </c>
      <c r="I603" s="3">
        <f t="shared" si="172"/>
        <v>37980</v>
      </c>
      <c r="J603" s="18">
        <f t="shared" si="173"/>
        <v>39992.939999999995</v>
      </c>
    </row>
    <row r="604" spans="2:10" x14ac:dyDescent="0.35">
      <c r="B604" s="44" t="s">
        <v>2544</v>
      </c>
      <c r="C604" s="5" t="s">
        <v>778</v>
      </c>
      <c r="D604" s="5" t="s">
        <v>40</v>
      </c>
      <c r="E604" s="3">
        <v>0</v>
      </c>
      <c r="F604" s="3">
        <v>0</v>
      </c>
      <c r="G604" s="54">
        <f t="shared" si="161"/>
        <v>0</v>
      </c>
      <c r="H604" s="62">
        <f t="shared" si="171"/>
        <v>0</v>
      </c>
      <c r="I604" s="3">
        <f t="shared" si="172"/>
        <v>0</v>
      </c>
      <c r="J604" s="18">
        <f t="shared" si="173"/>
        <v>0</v>
      </c>
    </row>
    <row r="605" spans="2:10" x14ac:dyDescent="0.35">
      <c r="B605" s="44" t="s">
        <v>2544</v>
      </c>
      <c r="C605" s="5" t="s">
        <v>779</v>
      </c>
      <c r="D605" s="5" t="s">
        <v>526</v>
      </c>
      <c r="E605" s="3">
        <v>12815</v>
      </c>
      <c r="F605" s="3">
        <v>2905.28</v>
      </c>
      <c r="G605" s="54">
        <f t="shared" si="161"/>
        <v>4980.4800000000005</v>
      </c>
      <c r="H605" s="75">
        <v>5000</v>
      </c>
      <c r="I605" s="3">
        <f t="shared" si="172"/>
        <v>5275</v>
      </c>
      <c r="J605" s="18">
        <f t="shared" si="173"/>
        <v>5554.5749999999998</v>
      </c>
    </row>
    <row r="606" spans="2:10" x14ac:dyDescent="0.35">
      <c r="B606" s="44" t="s">
        <v>2544</v>
      </c>
      <c r="C606" s="5" t="s">
        <v>780</v>
      </c>
      <c r="D606" s="5" t="s">
        <v>197</v>
      </c>
      <c r="E606" s="3">
        <v>0</v>
      </c>
      <c r="F606" s="3">
        <v>0</v>
      </c>
      <c r="G606" s="54">
        <f t="shared" si="161"/>
        <v>0</v>
      </c>
      <c r="H606" s="62">
        <f t="shared" si="171"/>
        <v>0</v>
      </c>
      <c r="I606" s="3">
        <f t="shared" si="172"/>
        <v>0</v>
      </c>
      <c r="J606" s="18">
        <f t="shared" si="173"/>
        <v>0</v>
      </c>
    </row>
    <row r="607" spans="2:10" x14ac:dyDescent="0.35">
      <c r="B607" s="44" t="s">
        <v>2544</v>
      </c>
      <c r="C607" s="5" t="s">
        <v>781</v>
      </c>
      <c r="D607" s="5" t="s">
        <v>42</v>
      </c>
      <c r="E607" s="3">
        <v>119267</v>
      </c>
      <c r="F607" s="3">
        <v>43629.73</v>
      </c>
      <c r="G607" s="54">
        <f t="shared" si="161"/>
        <v>74793.822857142863</v>
      </c>
      <c r="H607" s="75">
        <f t="shared" si="171"/>
        <v>79131.864582857146</v>
      </c>
      <c r="I607" s="3">
        <f t="shared" si="172"/>
        <v>83484.117134914282</v>
      </c>
      <c r="J607" s="18">
        <f t="shared" si="173"/>
        <v>87908.775343064728</v>
      </c>
    </row>
    <row r="608" spans="2:10" x14ac:dyDescent="0.35">
      <c r="B608" s="44" t="s">
        <v>2544</v>
      </c>
      <c r="C608" s="5" t="s">
        <v>782</v>
      </c>
      <c r="D608" s="5" t="s">
        <v>44</v>
      </c>
      <c r="E608" s="3">
        <v>8497</v>
      </c>
      <c r="F608" s="3">
        <v>3294.33</v>
      </c>
      <c r="G608" s="54">
        <f t="shared" si="161"/>
        <v>5647.4228571428575</v>
      </c>
      <c r="H608" s="75">
        <f t="shared" si="171"/>
        <v>5974.9733828571434</v>
      </c>
      <c r="I608" s="3">
        <f t="shared" si="172"/>
        <v>6303.5969189142861</v>
      </c>
      <c r="J608" s="18">
        <f t="shared" si="173"/>
        <v>6637.6875556167424</v>
      </c>
    </row>
    <row r="609" spans="2:16" x14ac:dyDescent="0.35">
      <c r="B609" s="44" t="s">
        <v>2544</v>
      </c>
      <c r="C609" s="5" t="s">
        <v>783</v>
      </c>
      <c r="D609" s="5" t="s">
        <v>46</v>
      </c>
      <c r="E609" s="3">
        <v>8497</v>
      </c>
      <c r="F609" s="3">
        <v>177.58</v>
      </c>
      <c r="G609" s="54">
        <f t="shared" si="161"/>
        <v>304.4228571428572</v>
      </c>
      <c r="H609" s="75">
        <f t="shared" si="171"/>
        <v>322.07938285714295</v>
      </c>
      <c r="I609" s="3">
        <f t="shared" si="172"/>
        <v>339.7937489142858</v>
      </c>
      <c r="J609" s="18">
        <f t="shared" si="173"/>
        <v>357.80281760674291</v>
      </c>
    </row>
    <row r="610" spans="2:16" x14ac:dyDescent="0.35">
      <c r="B610" s="44" t="s">
        <v>2544</v>
      </c>
      <c r="C610" s="5" t="s">
        <v>784</v>
      </c>
      <c r="D610" s="5" t="s">
        <v>50</v>
      </c>
      <c r="E610" s="3">
        <v>8497</v>
      </c>
      <c r="F610" s="3">
        <v>2459.94</v>
      </c>
      <c r="G610" s="54">
        <f t="shared" si="161"/>
        <v>4217.04</v>
      </c>
      <c r="H610" s="75">
        <f t="shared" si="171"/>
        <v>4461.6283199999998</v>
      </c>
      <c r="I610" s="3">
        <f t="shared" si="172"/>
        <v>4707.0178775999993</v>
      </c>
      <c r="J610" s="18">
        <f t="shared" si="173"/>
        <v>4956.4898251127988</v>
      </c>
    </row>
    <row r="611" spans="2:16" x14ac:dyDescent="0.35">
      <c r="B611" s="44" t="s">
        <v>2544</v>
      </c>
      <c r="C611" s="5" t="s">
        <v>785</v>
      </c>
      <c r="D611" s="5" t="s">
        <v>52</v>
      </c>
      <c r="E611" s="3">
        <v>0</v>
      </c>
      <c r="F611" s="3">
        <f>33935.62-306.26</f>
        <v>33629.360000000001</v>
      </c>
      <c r="G611" s="54">
        <f t="shared" si="161"/>
        <v>57650.33142857143</v>
      </c>
      <c r="H611" s="75">
        <f t="shared" si="171"/>
        <v>60994.050651428573</v>
      </c>
      <c r="I611" s="3">
        <f t="shared" si="172"/>
        <v>64348.72343725714</v>
      </c>
      <c r="J611" s="18">
        <f t="shared" si="173"/>
        <v>67759.205779431766</v>
      </c>
    </row>
    <row r="612" spans="2:16" x14ac:dyDescent="0.35">
      <c r="B612" s="44" t="s">
        <v>2544</v>
      </c>
      <c r="C612" s="5" t="s">
        <v>786</v>
      </c>
      <c r="D612" s="5" t="s">
        <v>298</v>
      </c>
      <c r="E612" s="3">
        <v>675000</v>
      </c>
      <c r="F612" s="3">
        <v>0</v>
      </c>
      <c r="G612" s="54">
        <f t="shared" si="161"/>
        <v>0</v>
      </c>
      <c r="H612" s="62">
        <f>+G612*1.06</f>
        <v>0</v>
      </c>
      <c r="I612" s="3">
        <f t="shared" si="172"/>
        <v>0</v>
      </c>
      <c r="J612" s="18">
        <f t="shared" si="173"/>
        <v>0</v>
      </c>
    </row>
    <row r="613" spans="2:16" x14ac:dyDescent="0.35">
      <c r="B613" s="44" t="s">
        <v>2544</v>
      </c>
      <c r="C613" s="5" t="s">
        <v>787</v>
      </c>
      <c r="D613" s="5" t="s">
        <v>64</v>
      </c>
      <c r="E613" s="3">
        <v>1412000</v>
      </c>
      <c r="F613" s="3">
        <v>0</v>
      </c>
      <c r="G613" s="54">
        <f t="shared" si="161"/>
        <v>0</v>
      </c>
      <c r="H613" s="62">
        <f t="shared" ref="H613:H635" si="174">+G613*1.06</f>
        <v>0</v>
      </c>
      <c r="I613" s="3">
        <f t="shared" si="172"/>
        <v>0</v>
      </c>
      <c r="J613" s="18">
        <f t="shared" si="173"/>
        <v>0</v>
      </c>
    </row>
    <row r="614" spans="2:16" x14ac:dyDescent="0.35">
      <c r="B614" s="44" t="s">
        <v>2544</v>
      </c>
      <c r="C614" s="5" t="s">
        <v>788</v>
      </c>
      <c r="D614" s="5" t="s">
        <v>66</v>
      </c>
      <c r="E614" s="3">
        <v>0</v>
      </c>
      <c r="F614" s="3">
        <v>0</v>
      </c>
      <c r="G614" s="54">
        <f t="shared" si="161"/>
        <v>0</v>
      </c>
      <c r="H614" s="62">
        <f t="shared" si="174"/>
        <v>0</v>
      </c>
      <c r="I614" s="3">
        <f t="shared" si="172"/>
        <v>0</v>
      </c>
      <c r="J614" s="18">
        <f t="shared" si="173"/>
        <v>0</v>
      </c>
    </row>
    <row r="615" spans="2:16" x14ac:dyDescent="0.35">
      <c r="B615" s="44"/>
      <c r="C615" s="5"/>
      <c r="D615" s="5" t="s">
        <v>2645</v>
      </c>
      <c r="E615" s="3"/>
      <c r="F615" s="3"/>
      <c r="G615" s="54"/>
      <c r="H615" s="62"/>
      <c r="I615" s="3"/>
      <c r="J615" s="18"/>
    </row>
    <row r="616" spans="2:16" x14ac:dyDescent="0.35">
      <c r="B616" s="44" t="s">
        <v>2544</v>
      </c>
      <c r="C616" s="5" t="s">
        <v>789</v>
      </c>
      <c r="D616" s="5" t="s">
        <v>68</v>
      </c>
      <c r="E616" s="3">
        <v>0</v>
      </c>
      <c r="F616" s="3">
        <v>0</v>
      </c>
      <c r="G616" s="54">
        <f t="shared" si="161"/>
        <v>0</v>
      </c>
      <c r="H616" s="62">
        <f t="shared" si="174"/>
        <v>0</v>
      </c>
      <c r="I616" s="3">
        <f t="shared" si="172"/>
        <v>0</v>
      </c>
      <c r="J616" s="18">
        <f t="shared" si="173"/>
        <v>0</v>
      </c>
    </row>
    <row r="617" spans="2:16" x14ac:dyDescent="0.35">
      <c r="B617" s="44" t="s">
        <v>2544</v>
      </c>
      <c r="C617" s="5" t="s">
        <v>790</v>
      </c>
      <c r="D617" s="5" t="s">
        <v>90</v>
      </c>
      <c r="E617" s="3">
        <v>6000</v>
      </c>
      <c r="F617" s="3">
        <v>6000</v>
      </c>
      <c r="G617" s="54">
        <f t="shared" si="161"/>
        <v>10285.714285714286</v>
      </c>
      <c r="H617" s="62">
        <f t="shared" si="174"/>
        <v>10902.857142857143</v>
      </c>
      <c r="I617" s="3">
        <f t="shared" si="172"/>
        <v>11502.514285714286</v>
      </c>
      <c r="J617" s="18">
        <f t="shared" si="173"/>
        <v>12112.147542857141</v>
      </c>
    </row>
    <row r="618" spans="2:16" x14ac:dyDescent="0.35">
      <c r="B618" s="44" t="s">
        <v>2544</v>
      </c>
      <c r="C618" s="5" t="s">
        <v>791</v>
      </c>
      <c r="D618" s="5" t="s">
        <v>440</v>
      </c>
      <c r="E618" s="3">
        <v>9000</v>
      </c>
      <c r="F618" s="3">
        <v>194.56</v>
      </c>
      <c r="G618" s="54">
        <f t="shared" si="161"/>
        <v>333.53142857142859</v>
      </c>
      <c r="H618" s="75">
        <v>3500</v>
      </c>
      <c r="I618" s="3">
        <f t="shared" si="172"/>
        <v>3692.5</v>
      </c>
      <c r="J618" s="18">
        <f t="shared" si="173"/>
        <v>3888.2024999999999</v>
      </c>
    </row>
    <row r="619" spans="2:16" x14ac:dyDescent="0.35">
      <c r="B619" s="44" t="s">
        <v>2544</v>
      </c>
      <c r="C619" s="5" t="s">
        <v>792</v>
      </c>
      <c r="D619" s="5" t="s">
        <v>94</v>
      </c>
      <c r="E619" s="3">
        <v>0</v>
      </c>
      <c r="F619" s="3">
        <f>1365.15-96.5</f>
        <v>1268.6500000000001</v>
      </c>
      <c r="G619" s="54">
        <f t="shared" si="161"/>
        <v>2174.8285714285716</v>
      </c>
      <c r="H619" s="62">
        <f t="shared" si="174"/>
        <v>2305.318285714286</v>
      </c>
      <c r="I619" s="3">
        <f t="shared" si="172"/>
        <v>2432.1107914285717</v>
      </c>
      <c r="J619" s="18">
        <f t="shared" si="173"/>
        <v>2561.0126633742857</v>
      </c>
      <c r="K619" t="s">
        <v>2638</v>
      </c>
      <c r="M619">
        <v>150</v>
      </c>
      <c r="N619">
        <f>+M619*3</f>
        <v>450</v>
      </c>
      <c r="O619" t="s">
        <v>2639</v>
      </c>
      <c r="P619" t="s">
        <v>2640</v>
      </c>
    </row>
    <row r="620" spans="2:16" x14ac:dyDescent="0.35">
      <c r="B620" s="44" t="s">
        <v>2544</v>
      </c>
      <c r="C620" s="5" t="s">
        <v>793</v>
      </c>
      <c r="D620" s="5" t="s">
        <v>541</v>
      </c>
      <c r="E620" s="3">
        <v>0</v>
      </c>
      <c r="F620" s="3">
        <v>0</v>
      </c>
      <c r="G620" s="54">
        <f t="shared" si="161"/>
        <v>0</v>
      </c>
      <c r="H620" s="62">
        <v>0</v>
      </c>
      <c r="I620" s="3">
        <f t="shared" si="172"/>
        <v>0</v>
      </c>
      <c r="J620" s="18">
        <f t="shared" si="173"/>
        <v>0</v>
      </c>
    </row>
    <row r="621" spans="2:16" x14ac:dyDescent="0.35">
      <c r="B621" s="44"/>
      <c r="C621" s="5"/>
      <c r="D621" s="5" t="s">
        <v>2644</v>
      </c>
      <c r="E621" s="3"/>
      <c r="F621" s="3"/>
      <c r="G621" s="54"/>
      <c r="H621" s="75">
        <v>15000</v>
      </c>
      <c r="I621" s="3"/>
      <c r="J621" s="18"/>
    </row>
    <row r="622" spans="2:16" x14ac:dyDescent="0.35">
      <c r="B622" s="44" t="s">
        <v>2544</v>
      </c>
      <c r="C622" s="5" t="s">
        <v>794</v>
      </c>
      <c r="D622" s="5" t="s">
        <v>543</v>
      </c>
      <c r="E622" s="3">
        <v>117600</v>
      </c>
      <c r="F622" s="3">
        <v>39477.07</v>
      </c>
      <c r="G622" s="54">
        <f t="shared" si="161"/>
        <v>67674.97714285714</v>
      </c>
      <c r="H622" s="75">
        <v>70000</v>
      </c>
      <c r="I622" s="3">
        <f t="shared" si="172"/>
        <v>73850</v>
      </c>
      <c r="J622" s="18">
        <f t="shared" si="173"/>
        <v>77764.049999999988</v>
      </c>
    </row>
    <row r="623" spans="2:16" x14ac:dyDescent="0.35">
      <c r="B623" s="44" t="s">
        <v>2544</v>
      </c>
      <c r="C623" s="5" t="s">
        <v>795</v>
      </c>
      <c r="D623" s="5" t="s">
        <v>796</v>
      </c>
      <c r="E623" s="3">
        <v>5041</v>
      </c>
      <c r="F623" s="3">
        <f>7455.95-61.91</f>
        <v>7394.04</v>
      </c>
      <c r="G623" s="54">
        <f t="shared" si="161"/>
        <v>12675.497142857141</v>
      </c>
      <c r="H623" s="75">
        <v>15000</v>
      </c>
      <c r="I623" s="3">
        <f t="shared" si="172"/>
        <v>15824.999999999998</v>
      </c>
      <c r="J623" s="18">
        <f t="shared" si="173"/>
        <v>16663.724999999999</v>
      </c>
    </row>
    <row r="624" spans="2:16" x14ac:dyDescent="0.35">
      <c r="B624" s="44" t="s">
        <v>2544</v>
      </c>
      <c r="C624" s="5" t="s">
        <v>797</v>
      </c>
      <c r="D624" s="5" t="s">
        <v>98</v>
      </c>
      <c r="E624" s="3">
        <v>14153</v>
      </c>
      <c r="F624" s="3">
        <v>21118.57</v>
      </c>
      <c r="G624" s="54">
        <f t="shared" si="161"/>
        <v>36203.262857142858</v>
      </c>
      <c r="H624" s="75">
        <v>37000</v>
      </c>
      <c r="I624" s="3">
        <f t="shared" si="172"/>
        <v>39035</v>
      </c>
      <c r="J624" s="18">
        <f t="shared" si="173"/>
        <v>41103.854999999996</v>
      </c>
    </row>
    <row r="625" spans="2:10" x14ac:dyDescent="0.35">
      <c r="B625" s="44" t="s">
        <v>2544</v>
      </c>
      <c r="C625" s="5" t="s">
        <v>798</v>
      </c>
      <c r="D625" s="5" t="s">
        <v>748</v>
      </c>
      <c r="E625" s="3">
        <v>0</v>
      </c>
      <c r="F625" s="3">
        <v>0</v>
      </c>
      <c r="G625" s="54">
        <f t="shared" si="161"/>
        <v>0</v>
      </c>
      <c r="H625" s="62">
        <f t="shared" si="174"/>
        <v>0</v>
      </c>
      <c r="I625" s="3">
        <f t="shared" si="172"/>
        <v>0</v>
      </c>
      <c r="J625" s="18">
        <f t="shared" si="173"/>
        <v>0</v>
      </c>
    </row>
    <row r="626" spans="2:10" x14ac:dyDescent="0.35">
      <c r="B626" s="44" t="s">
        <v>2544</v>
      </c>
      <c r="C626" s="5" t="s">
        <v>799</v>
      </c>
      <c r="D626" s="11" t="s">
        <v>750</v>
      </c>
      <c r="E626" s="3">
        <v>0</v>
      </c>
      <c r="F626" s="3">
        <v>0</v>
      </c>
      <c r="G626" s="54">
        <f t="shared" si="161"/>
        <v>0</v>
      </c>
      <c r="H626" s="62">
        <f t="shared" si="174"/>
        <v>0</v>
      </c>
      <c r="I626" s="3">
        <f t="shared" si="172"/>
        <v>0</v>
      </c>
      <c r="J626" s="18">
        <f t="shared" si="173"/>
        <v>0</v>
      </c>
    </row>
    <row r="627" spans="2:10" x14ac:dyDescent="0.35">
      <c r="B627" s="44" t="s">
        <v>2544</v>
      </c>
      <c r="C627" s="5" t="s">
        <v>800</v>
      </c>
      <c r="D627" s="5" t="s">
        <v>242</v>
      </c>
      <c r="E627" s="3">
        <v>0</v>
      </c>
      <c r="F627" s="3">
        <v>0</v>
      </c>
      <c r="G627" s="54">
        <f t="shared" si="161"/>
        <v>0</v>
      </c>
      <c r="H627" s="62">
        <f t="shared" si="174"/>
        <v>0</v>
      </c>
      <c r="I627" s="3">
        <f t="shared" si="172"/>
        <v>0</v>
      </c>
      <c r="J627" s="18">
        <f t="shared" si="173"/>
        <v>0</v>
      </c>
    </row>
    <row r="628" spans="2:10" x14ac:dyDescent="0.35">
      <c r="B628" s="44" t="s">
        <v>2544</v>
      </c>
      <c r="C628" s="5" t="s">
        <v>801</v>
      </c>
      <c r="D628" s="11" t="s">
        <v>2642</v>
      </c>
      <c r="E628" s="3">
        <v>50000</v>
      </c>
      <c r="F628" s="3">
        <v>82643.02</v>
      </c>
      <c r="G628" s="54">
        <f t="shared" si="161"/>
        <v>141673.74857142859</v>
      </c>
      <c r="H628" s="75">
        <v>60000</v>
      </c>
      <c r="I628" s="3">
        <f t="shared" si="172"/>
        <v>63299.999999999993</v>
      </c>
      <c r="J628" s="18">
        <f t="shared" si="173"/>
        <v>66654.899999999994</v>
      </c>
    </row>
    <row r="629" spans="2:10" x14ac:dyDescent="0.35">
      <c r="B629" s="44" t="s">
        <v>2544</v>
      </c>
      <c r="C629" s="5" t="s">
        <v>802</v>
      </c>
      <c r="D629" s="11" t="s">
        <v>2643</v>
      </c>
      <c r="E629" s="3">
        <v>70000</v>
      </c>
      <c r="F629" s="3">
        <v>19566.189999999999</v>
      </c>
      <c r="G629" s="54">
        <f t="shared" si="161"/>
        <v>33542.039999999994</v>
      </c>
      <c r="H629" s="75">
        <v>10000</v>
      </c>
      <c r="I629" s="3">
        <f t="shared" si="172"/>
        <v>10550</v>
      </c>
      <c r="J629" s="18">
        <f t="shared" si="173"/>
        <v>11109.15</v>
      </c>
    </row>
    <row r="630" spans="2:10" x14ac:dyDescent="0.35">
      <c r="B630" s="44"/>
      <c r="C630" s="5"/>
      <c r="D630" s="11" t="s">
        <v>2641</v>
      </c>
      <c r="E630" s="3"/>
      <c r="F630" s="3"/>
      <c r="G630" s="54"/>
      <c r="H630" s="75">
        <v>35000</v>
      </c>
      <c r="I630" s="3"/>
      <c r="J630" s="18"/>
    </row>
    <row r="631" spans="2:10" x14ac:dyDescent="0.35">
      <c r="B631" s="44" t="s">
        <v>2544</v>
      </c>
      <c r="C631" s="5" t="s">
        <v>803</v>
      </c>
      <c r="D631" s="5" t="s">
        <v>120</v>
      </c>
      <c r="E631" s="3">
        <v>0</v>
      </c>
      <c r="F631" s="3">
        <v>0</v>
      </c>
      <c r="G631" s="54">
        <f t="shared" ref="G631:G686" si="175">+F631/7*12</f>
        <v>0</v>
      </c>
      <c r="H631" s="62">
        <f t="shared" si="174"/>
        <v>0</v>
      </c>
      <c r="I631" s="3">
        <f t="shared" si="172"/>
        <v>0</v>
      </c>
      <c r="J631" s="18">
        <f t="shared" si="173"/>
        <v>0</v>
      </c>
    </row>
    <row r="632" spans="2:10" x14ac:dyDescent="0.35">
      <c r="B632" s="44" t="s">
        <v>2544</v>
      </c>
      <c r="C632" s="5" t="s">
        <v>804</v>
      </c>
      <c r="D632" s="5" t="s">
        <v>420</v>
      </c>
      <c r="E632" s="3">
        <v>0</v>
      </c>
      <c r="F632" s="3">
        <v>0</v>
      </c>
      <c r="G632" s="54">
        <f t="shared" si="175"/>
        <v>0</v>
      </c>
      <c r="H632" s="62">
        <f t="shared" si="174"/>
        <v>0</v>
      </c>
      <c r="I632" s="3">
        <f t="shared" si="172"/>
        <v>0</v>
      </c>
      <c r="J632" s="18">
        <f t="shared" si="173"/>
        <v>0</v>
      </c>
    </row>
    <row r="633" spans="2:10" x14ac:dyDescent="0.35">
      <c r="B633" s="44" t="s">
        <v>2544</v>
      </c>
      <c r="C633" s="5" t="s">
        <v>805</v>
      </c>
      <c r="D633" s="5" t="s">
        <v>760</v>
      </c>
      <c r="E633" s="3">
        <v>2964292</v>
      </c>
      <c r="F633" s="3">
        <v>0</v>
      </c>
      <c r="G633" s="54">
        <f t="shared" si="175"/>
        <v>0</v>
      </c>
      <c r="H633" s="62">
        <f t="shared" si="174"/>
        <v>0</v>
      </c>
      <c r="I633" s="3">
        <f t="shared" si="172"/>
        <v>0</v>
      </c>
      <c r="J633" s="18">
        <f t="shared" si="173"/>
        <v>0</v>
      </c>
    </row>
    <row r="634" spans="2:10" x14ac:dyDescent="0.35">
      <c r="B634" s="44" t="s">
        <v>2544</v>
      </c>
      <c r="C634" s="5" t="s">
        <v>806</v>
      </c>
      <c r="D634" s="5" t="s">
        <v>368</v>
      </c>
      <c r="E634" s="3">
        <v>114675</v>
      </c>
      <c r="F634" s="3">
        <v>98534.11</v>
      </c>
      <c r="G634" s="54">
        <f t="shared" si="175"/>
        <v>168915.61714285714</v>
      </c>
      <c r="H634" s="62">
        <f t="shared" si="174"/>
        <v>179050.55417142858</v>
      </c>
      <c r="I634" s="3">
        <f t="shared" si="172"/>
        <v>188898.33465085714</v>
      </c>
      <c r="J634" s="18">
        <f t="shared" si="173"/>
        <v>198909.94638735257</v>
      </c>
    </row>
    <row r="635" spans="2:10" x14ac:dyDescent="0.35">
      <c r="B635" s="44" t="s">
        <v>2544</v>
      </c>
      <c r="C635" s="5" t="s">
        <v>807</v>
      </c>
      <c r="D635" s="5" t="s">
        <v>124</v>
      </c>
      <c r="E635" s="3">
        <v>0</v>
      </c>
      <c r="F635" s="3">
        <v>0</v>
      </c>
      <c r="G635" s="54">
        <f t="shared" si="175"/>
        <v>0</v>
      </c>
      <c r="H635" s="62">
        <f t="shared" si="174"/>
        <v>0</v>
      </c>
      <c r="I635" s="3">
        <f t="shared" si="172"/>
        <v>0</v>
      </c>
      <c r="J635" s="18">
        <f t="shared" si="173"/>
        <v>0</v>
      </c>
    </row>
    <row r="636" spans="2:10" s="8" customFormat="1" x14ac:dyDescent="0.35">
      <c r="B636" s="33" t="s">
        <v>2546</v>
      </c>
      <c r="C636" s="5"/>
      <c r="D636" s="5"/>
      <c r="E636" s="10">
        <f>SUM(E601:E635)</f>
        <v>6584378</v>
      </c>
      <c r="F636" s="10">
        <f t="shared" ref="F636:G636" si="176">SUM(F601:F635)</f>
        <v>789004.08</v>
      </c>
      <c r="G636" s="59">
        <f t="shared" si="176"/>
        <v>1352578.422857143</v>
      </c>
      <c r="H636" s="63">
        <f t="shared" ref="H636:J636" si="177">SUM(H601:H635)</f>
        <v>1370200.6431771428</v>
      </c>
      <c r="I636" s="10">
        <f t="shared" si="177"/>
        <v>1392811.6785518855</v>
      </c>
      <c r="J636" s="22">
        <f t="shared" si="177"/>
        <v>1466630.6975151352</v>
      </c>
    </row>
    <row r="637" spans="2:10" s="8" customFormat="1" ht="6.75" customHeight="1" x14ac:dyDescent="0.35">
      <c r="B637" s="23"/>
      <c r="E637" s="39"/>
      <c r="F637" s="39"/>
      <c r="G637" s="39"/>
      <c r="H637" s="68"/>
      <c r="I637" s="39"/>
      <c r="J637" s="40"/>
    </row>
    <row r="638" spans="2:10" s="8" customFormat="1" ht="15" thickBot="1" x14ac:dyDescent="0.4">
      <c r="B638" s="35" t="s">
        <v>2548</v>
      </c>
      <c r="C638" s="25"/>
      <c r="D638" s="25"/>
      <c r="E638" s="26">
        <f>+E599+E636</f>
        <v>1084378</v>
      </c>
      <c r="F638" s="26">
        <f t="shared" ref="F638:G638" si="178">+F599+F636</f>
        <v>-578370.68000000005</v>
      </c>
      <c r="G638" s="60">
        <f t="shared" si="178"/>
        <v>-991492.59428571397</v>
      </c>
      <c r="H638" s="65">
        <f t="shared" ref="H638:J638" si="179">+H599+H636</f>
        <v>-1815791.1868799999</v>
      </c>
      <c r="I638" s="26">
        <f t="shared" si="179"/>
        <v>-1936759.7021584001</v>
      </c>
      <c r="J638" s="27">
        <f t="shared" si="179"/>
        <v>-2039407.9663727954</v>
      </c>
    </row>
    <row r="639" spans="2:10" s="8" customFormat="1" x14ac:dyDescent="0.35">
      <c r="B639" s="30"/>
      <c r="E639" s="9"/>
      <c r="F639" s="9"/>
      <c r="G639" s="9"/>
      <c r="H639" s="9"/>
      <c r="I639" s="9"/>
      <c r="J639" s="9"/>
    </row>
    <row r="640" spans="2:10" s="8" customFormat="1" x14ac:dyDescent="0.35">
      <c r="B640" s="30"/>
      <c r="E640" s="9"/>
      <c r="F640" s="9"/>
      <c r="G640" s="9"/>
      <c r="H640" s="9"/>
      <c r="I640" s="9"/>
      <c r="J640" s="9"/>
    </row>
    <row r="641" spans="1:10" s="8" customFormat="1" ht="15" thickBot="1" x14ac:dyDescent="0.4">
      <c r="A641" s="12" t="s">
        <v>2592</v>
      </c>
      <c r="B641" s="12" t="s">
        <v>2566</v>
      </c>
      <c r="E641" s="9"/>
      <c r="F641" s="9"/>
      <c r="G641" s="9"/>
      <c r="H641" s="9"/>
      <c r="I641" s="9"/>
      <c r="J641" s="9"/>
    </row>
    <row r="642" spans="1:10" x14ac:dyDescent="0.35">
      <c r="B642" s="31" t="s">
        <v>2543</v>
      </c>
      <c r="C642" s="14" t="s">
        <v>812</v>
      </c>
      <c r="D642" s="14" t="s">
        <v>813</v>
      </c>
      <c r="E642" s="15">
        <v>-2791776</v>
      </c>
      <c r="F642" s="15">
        <f>176630.52-1905569.09</f>
        <v>-1728938.57</v>
      </c>
      <c r="G642" s="58">
        <f t="shared" si="175"/>
        <v>-2963894.6914285715</v>
      </c>
      <c r="H642" s="61">
        <f>+G642*1.06</f>
        <v>-3141728.3729142859</v>
      </c>
      <c r="I642" s="15">
        <f>+H642*1.055</f>
        <v>-3314523.4334245715</v>
      </c>
      <c r="J642" s="16">
        <f>+I642*1.053</f>
        <v>-3490193.1753960736</v>
      </c>
    </row>
    <row r="643" spans="1:10" x14ac:dyDescent="0.35">
      <c r="B643" s="32" t="s">
        <v>2543</v>
      </c>
      <c r="C643" s="5" t="s">
        <v>814</v>
      </c>
      <c r="D643" s="5" t="s">
        <v>815</v>
      </c>
      <c r="E643" s="3">
        <v>1059172</v>
      </c>
      <c r="F643" s="3">
        <v>524485.78</v>
      </c>
      <c r="G643" s="54">
        <f t="shared" si="175"/>
        <v>899118.4800000001</v>
      </c>
      <c r="H643" s="62"/>
      <c r="I643" s="3">
        <f t="shared" ref="I643:I648" si="180">+H643*1.055</f>
        <v>0</v>
      </c>
      <c r="J643" s="18">
        <f t="shared" ref="J643:J648" si="181">+I643*1.053</f>
        <v>0</v>
      </c>
    </row>
    <row r="644" spans="1:10" x14ac:dyDescent="0.35">
      <c r="B644" s="32"/>
      <c r="C644" s="5"/>
      <c r="D644" s="5" t="s">
        <v>2626</v>
      </c>
      <c r="E644" s="3"/>
      <c r="F644" s="3"/>
      <c r="G644" s="54"/>
      <c r="H644" s="62">
        <v>-10000</v>
      </c>
      <c r="I644" s="3"/>
      <c r="J644" s="18"/>
    </row>
    <row r="645" spans="1:10" x14ac:dyDescent="0.35">
      <c r="B645" s="32" t="s">
        <v>2543</v>
      </c>
      <c r="C645" s="5" t="s">
        <v>818</v>
      </c>
      <c r="D645" s="5" t="s">
        <v>126</v>
      </c>
      <c r="E645" s="3">
        <v>0</v>
      </c>
      <c r="F645" s="3">
        <v>0</v>
      </c>
      <c r="G645" s="54">
        <f t="shared" si="175"/>
        <v>0</v>
      </c>
      <c r="H645" s="62">
        <f t="shared" ref="H645:H648" si="182">+G645*1.06</f>
        <v>0</v>
      </c>
      <c r="I645" s="3">
        <f t="shared" si="180"/>
        <v>0</v>
      </c>
      <c r="J645" s="18">
        <f t="shared" si="181"/>
        <v>0</v>
      </c>
    </row>
    <row r="646" spans="1:10" x14ac:dyDescent="0.35">
      <c r="B646" s="32" t="s">
        <v>2543</v>
      </c>
      <c r="C646" s="5" t="s">
        <v>819</v>
      </c>
      <c r="D646" s="66" t="s">
        <v>16</v>
      </c>
      <c r="E646" s="3">
        <v>-4500000</v>
      </c>
      <c r="F646" s="3">
        <v>0</v>
      </c>
      <c r="G646" s="54">
        <f t="shared" si="175"/>
        <v>0</v>
      </c>
      <c r="H646" s="62">
        <f t="shared" si="182"/>
        <v>0</v>
      </c>
      <c r="I646" s="3">
        <f t="shared" si="180"/>
        <v>0</v>
      </c>
      <c r="J646" s="18">
        <f t="shared" si="181"/>
        <v>0</v>
      </c>
    </row>
    <row r="647" spans="1:10" x14ac:dyDescent="0.35">
      <c r="B647" s="32" t="s">
        <v>2543</v>
      </c>
      <c r="C647" s="5" t="s">
        <v>822</v>
      </c>
      <c r="D647" s="5" t="s">
        <v>30</v>
      </c>
      <c r="E647" s="3">
        <v>0</v>
      </c>
      <c r="F647" s="3">
        <v>0</v>
      </c>
      <c r="G647" s="54">
        <f t="shared" si="175"/>
        <v>0</v>
      </c>
      <c r="H647" s="62">
        <f t="shared" si="182"/>
        <v>0</v>
      </c>
      <c r="I647" s="3">
        <f t="shared" si="180"/>
        <v>0</v>
      </c>
      <c r="J647" s="18">
        <f t="shared" si="181"/>
        <v>0</v>
      </c>
    </row>
    <row r="648" spans="1:10" x14ac:dyDescent="0.35">
      <c r="B648" s="32" t="s">
        <v>2543</v>
      </c>
      <c r="C648" s="5" t="s">
        <v>823</v>
      </c>
      <c r="D648" s="5" t="s">
        <v>32</v>
      </c>
      <c r="E648" s="3">
        <v>0</v>
      </c>
      <c r="F648" s="3">
        <v>0</v>
      </c>
      <c r="G648" s="54">
        <f t="shared" si="175"/>
        <v>0</v>
      </c>
      <c r="H648" s="62">
        <f t="shared" si="182"/>
        <v>0</v>
      </c>
      <c r="I648" s="3">
        <f t="shared" si="180"/>
        <v>0</v>
      </c>
      <c r="J648" s="18">
        <f t="shared" si="181"/>
        <v>0</v>
      </c>
    </row>
    <row r="649" spans="1:10" s="8" customFormat="1" x14ac:dyDescent="0.35">
      <c r="B649" s="33" t="s">
        <v>2545</v>
      </c>
      <c r="C649" s="5"/>
      <c r="D649" s="5"/>
      <c r="E649" s="10">
        <f t="shared" ref="E649:J649" si="183">SUM(E642:E648)</f>
        <v>-6232604</v>
      </c>
      <c r="F649" s="10">
        <f t="shared" si="183"/>
        <v>-1204452.79</v>
      </c>
      <c r="G649" s="59">
        <f t="shared" si="183"/>
        <v>-2064776.2114285715</v>
      </c>
      <c r="H649" s="63">
        <f t="shared" si="183"/>
        <v>-3151728.3729142859</v>
      </c>
      <c r="I649" s="10">
        <f t="shared" si="183"/>
        <v>-3314523.4334245715</v>
      </c>
      <c r="J649" s="22">
        <f t="shared" si="183"/>
        <v>-3490193.1753960736</v>
      </c>
    </row>
    <row r="650" spans="1:10" s="8" customFormat="1" x14ac:dyDescent="0.35">
      <c r="B650" s="23"/>
      <c r="E650" s="9"/>
      <c r="F650" s="9"/>
      <c r="G650" s="9"/>
      <c r="H650" s="64"/>
      <c r="I650" s="9"/>
      <c r="J650" s="21"/>
    </row>
    <row r="651" spans="1:10" x14ac:dyDescent="0.35">
      <c r="B651" s="32" t="s">
        <v>2544</v>
      </c>
      <c r="C651" s="5" t="s">
        <v>824</v>
      </c>
      <c r="D651" s="5" t="s">
        <v>34</v>
      </c>
      <c r="E651" s="3">
        <v>2204609</v>
      </c>
      <c r="F651" s="3">
        <f>1003372.18-13198.74</f>
        <v>990173.44000000006</v>
      </c>
      <c r="G651" s="54">
        <f t="shared" si="175"/>
        <v>1697440.1828571432</v>
      </c>
      <c r="H651" s="75">
        <f>+G651*1.058</f>
        <v>1795891.7134628575</v>
      </c>
      <c r="I651" s="3">
        <f>+H651*1.055</f>
        <v>1894665.7577033145</v>
      </c>
      <c r="J651" s="18">
        <f>+I651*1.053</f>
        <v>1995083.0428615902</v>
      </c>
    </row>
    <row r="652" spans="1:10" x14ac:dyDescent="0.35">
      <c r="B652" s="32" t="s">
        <v>2544</v>
      </c>
      <c r="C652" s="5" t="s">
        <v>825</v>
      </c>
      <c r="D652" s="5" t="s">
        <v>36</v>
      </c>
      <c r="E652" s="3">
        <v>183717</v>
      </c>
      <c r="F652" s="3">
        <v>156910.07</v>
      </c>
      <c r="G652" s="54">
        <f t="shared" si="175"/>
        <v>268988.69142857147</v>
      </c>
      <c r="H652" s="75">
        <f t="shared" ref="H652:H663" si="184">+G652*1.058</f>
        <v>284590.03553142864</v>
      </c>
      <c r="I652" s="3">
        <f t="shared" ref="I652:I686" si="185">+H652*1.055</f>
        <v>300242.48748565721</v>
      </c>
      <c r="J652" s="18">
        <f t="shared" ref="J652:J686" si="186">+I652*1.053</f>
        <v>316155.33932239702</v>
      </c>
    </row>
    <row r="653" spans="1:10" x14ac:dyDescent="0.35">
      <c r="B653" s="32" t="s">
        <v>2544</v>
      </c>
      <c r="C653" s="5" t="s">
        <v>826</v>
      </c>
      <c r="D653" s="5" t="s">
        <v>38</v>
      </c>
      <c r="E653" s="3">
        <v>0</v>
      </c>
      <c r="F653" s="3">
        <v>33637.67</v>
      </c>
      <c r="G653" s="54">
        <f t="shared" si="175"/>
        <v>57664.577142857132</v>
      </c>
      <c r="H653" s="75">
        <f t="shared" si="184"/>
        <v>61009.12261714285</v>
      </c>
      <c r="I653" s="3">
        <f t="shared" si="185"/>
        <v>64364.624361085705</v>
      </c>
      <c r="J653" s="18">
        <f t="shared" si="186"/>
        <v>67775.949452223242</v>
      </c>
    </row>
    <row r="654" spans="1:10" x14ac:dyDescent="0.35">
      <c r="B654" s="32" t="s">
        <v>2544</v>
      </c>
      <c r="C654" s="5" t="s">
        <v>827</v>
      </c>
      <c r="D654" s="5" t="s">
        <v>40</v>
      </c>
      <c r="E654" s="3">
        <v>0</v>
      </c>
      <c r="F654" s="3">
        <v>0</v>
      </c>
      <c r="G654" s="54">
        <f t="shared" si="175"/>
        <v>0</v>
      </c>
      <c r="H654" s="62">
        <f t="shared" si="184"/>
        <v>0</v>
      </c>
      <c r="I654" s="3">
        <f t="shared" si="185"/>
        <v>0</v>
      </c>
      <c r="J654" s="18">
        <f t="shared" si="186"/>
        <v>0</v>
      </c>
    </row>
    <row r="655" spans="1:10" x14ac:dyDescent="0.35">
      <c r="B655" s="32" t="s">
        <v>2544</v>
      </c>
      <c r="C655" s="5" t="s">
        <v>828</v>
      </c>
      <c r="D655" s="5" t="s">
        <v>526</v>
      </c>
      <c r="E655" s="3">
        <v>0</v>
      </c>
      <c r="F655" s="3">
        <v>5288.66</v>
      </c>
      <c r="G655" s="54">
        <f t="shared" si="175"/>
        <v>9066.2742857142857</v>
      </c>
      <c r="H655" s="75">
        <f t="shared" si="184"/>
        <v>9592.1181942857147</v>
      </c>
      <c r="I655" s="3">
        <f t="shared" si="185"/>
        <v>10119.684694971429</v>
      </c>
      <c r="J655" s="18">
        <f t="shared" si="186"/>
        <v>10656.027983804914</v>
      </c>
    </row>
    <row r="656" spans="1:10" x14ac:dyDescent="0.35">
      <c r="B656" s="32" t="s">
        <v>2544</v>
      </c>
      <c r="C656" s="5" t="s">
        <v>829</v>
      </c>
      <c r="D656" s="5" t="s">
        <v>197</v>
      </c>
      <c r="E656" s="3">
        <v>0</v>
      </c>
      <c r="F656" s="3">
        <v>0</v>
      </c>
      <c r="G656" s="54">
        <f t="shared" si="175"/>
        <v>0</v>
      </c>
      <c r="H656" s="62">
        <f t="shared" si="184"/>
        <v>0</v>
      </c>
      <c r="I656" s="3">
        <f t="shared" si="185"/>
        <v>0</v>
      </c>
      <c r="J656" s="18">
        <f t="shared" si="186"/>
        <v>0</v>
      </c>
    </row>
    <row r="657" spans="2:10" x14ac:dyDescent="0.35">
      <c r="B657" s="32" t="s">
        <v>2544</v>
      </c>
      <c r="C657" s="5" t="s">
        <v>830</v>
      </c>
      <c r="D657" s="5" t="s">
        <v>831</v>
      </c>
      <c r="E657" s="3">
        <v>0</v>
      </c>
      <c r="F657" s="3">
        <v>25551.18</v>
      </c>
      <c r="G657" s="54">
        <f t="shared" si="175"/>
        <v>43802.02285714286</v>
      </c>
      <c r="H657" s="75">
        <f t="shared" si="184"/>
        <v>46342.540182857148</v>
      </c>
      <c r="I657" s="3">
        <f t="shared" si="185"/>
        <v>48891.379892914287</v>
      </c>
      <c r="J657" s="18">
        <f t="shared" si="186"/>
        <v>51482.62302723874</v>
      </c>
    </row>
    <row r="658" spans="2:10" x14ac:dyDescent="0.35">
      <c r="B658" s="32" t="s">
        <v>2544</v>
      </c>
      <c r="C658" s="5" t="s">
        <v>832</v>
      </c>
      <c r="D658" s="5" t="s">
        <v>42</v>
      </c>
      <c r="E658" s="3">
        <v>304996</v>
      </c>
      <c r="F658" s="3">
        <v>202601.94</v>
      </c>
      <c r="G658" s="54">
        <f t="shared" si="175"/>
        <v>347317.6114285714</v>
      </c>
      <c r="H658" s="75">
        <f t="shared" si="184"/>
        <v>367462.03289142856</v>
      </c>
      <c r="I658" s="3">
        <f t="shared" si="185"/>
        <v>387672.4447004571</v>
      </c>
      <c r="J658" s="18">
        <f t="shared" si="186"/>
        <v>408219.0842695813</v>
      </c>
    </row>
    <row r="659" spans="2:10" x14ac:dyDescent="0.35">
      <c r="B659" s="32" t="s">
        <v>2544</v>
      </c>
      <c r="C659" s="5" t="s">
        <v>833</v>
      </c>
      <c r="D659" s="5" t="s">
        <v>44</v>
      </c>
      <c r="E659" s="3">
        <v>21835</v>
      </c>
      <c r="F659" s="3">
        <v>10499.4</v>
      </c>
      <c r="G659" s="54">
        <f t="shared" si="175"/>
        <v>17998.971428571429</v>
      </c>
      <c r="H659" s="75">
        <f t="shared" si="184"/>
        <v>19042.911771428571</v>
      </c>
      <c r="I659" s="3">
        <f t="shared" si="185"/>
        <v>20090.271918857143</v>
      </c>
      <c r="J659" s="18">
        <f t="shared" si="186"/>
        <v>21155.05633055657</v>
      </c>
    </row>
    <row r="660" spans="2:10" x14ac:dyDescent="0.35">
      <c r="B660" s="32" t="s">
        <v>2544</v>
      </c>
      <c r="C660" s="5" t="s">
        <v>834</v>
      </c>
      <c r="D660" s="5" t="s">
        <v>46</v>
      </c>
      <c r="E660" s="3">
        <v>22046</v>
      </c>
      <c r="F660" s="3">
        <v>803.86</v>
      </c>
      <c r="G660" s="54">
        <f t="shared" si="175"/>
        <v>1378.0457142857144</v>
      </c>
      <c r="H660" s="75">
        <f t="shared" si="184"/>
        <v>1457.9723657142858</v>
      </c>
      <c r="I660" s="3">
        <f t="shared" si="185"/>
        <v>1538.1608458285714</v>
      </c>
      <c r="J660" s="18">
        <f t="shared" si="186"/>
        <v>1619.6833706574855</v>
      </c>
    </row>
    <row r="661" spans="2:10" x14ac:dyDescent="0.35">
      <c r="B661" s="32" t="s">
        <v>2544</v>
      </c>
      <c r="C661" s="5" t="s">
        <v>835</v>
      </c>
      <c r="D661" s="5" t="s">
        <v>48</v>
      </c>
      <c r="E661" s="3">
        <v>0</v>
      </c>
      <c r="F661" s="3">
        <v>0</v>
      </c>
      <c r="G661" s="54">
        <f t="shared" si="175"/>
        <v>0</v>
      </c>
      <c r="H661" s="62">
        <f t="shared" si="184"/>
        <v>0</v>
      </c>
      <c r="I661" s="3">
        <f t="shared" si="185"/>
        <v>0</v>
      </c>
      <c r="J661" s="18">
        <f t="shared" si="186"/>
        <v>0</v>
      </c>
    </row>
    <row r="662" spans="2:10" x14ac:dyDescent="0.35">
      <c r="B662" s="32" t="s">
        <v>2544</v>
      </c>
      <c r="C662" s="5" t="s">
        <v>836</v>
      </c>
      <c r="D662" s="5" t="s">
        <v>50</v>
      </c>
      <c r="E662" s="3">
        <v>22046</v>
      </c>
      <c r="F662" s="3">
        <v>9262.43</v>
      </c>
      <c r="G662" s="54">
        <f t="shared" si="175"/>
        <v>15878.451428571429</v>
      </c>
      <c r="H662" s="75">
        <f t="shared" si="184"/>
        <v>16799.401611428573</v>
      </c>
      <c r="I662" s="3">
        <f t="shared" si="185"/>
        <v>17723.368700057144</v>
      </c>
      <c r="J662" s="18">
        <f t="shared" si="186"/>
        <v>18662.707241160173</v>
      </c>
    </row>
    <row r="663" spans="2:10" x14ac:dyDescent="0.35">
      <c r="B663" s="32" t="s">
        <v>2544</v>
      </c>
      <c r="C663" s="5" t="s">
        <v>837</v>
      </c>
      <c r="D663" s="5" t="s">
        <v>52</v>
      </c>
      <c r="E663" s="3">
        <v>0</v>
      </c>
      <c r="F663" s="3">
        <v>0</v>
      </c>
      <c r="G663" s="54">
        <f t="shared" si="175"/>
        <v>0</v>
      </c>
      <c r="H663" s="62">
        <f t="shared" si="184"/>
        <v>0</v>
      </c>
      <c r="I663" s="3">
        <f t="shared" si="185"/>
        <v>0</v>
      </c>
      <c r="J663" s="18">
        <f t="shared" si="186"/>
        <v>0</v>
      </c>
    </row>
    <row r="664" spans="2:10" x14ac:dyDescent="0.35">
      <c r="B664" s="32" t="s">
        <v>2544</v>
      </c>
      <c r="C664" s="5" t="s">
        <v>838</v>
      </c>
      <c r="D664" s="5" t="s">
        <v>298</v>
      </c>
      <c r="E664" s="3">
        <v>699000</v>
      </c>
      <c r="F664" s="3">
        <v>0</v>
      </c>
      <c r="G664" s="54">
        <f t="shared" si="175"/>
        <v>0</v>
      </c>
      <c r="H664" s="62">
        <f>+G664*1.06</f>
        <v>0</v>
      </c>
      <c r="I664" s="3">
        <f t="shared" si="185"/>
        <v>0</v>
      </c>
      <c r="J664" s="18">
        <f t="shared" si="186"/>
        <v>0</v>
      </c>
    </row>
    <row r="665" spans="2:10" x14ac:dyDescent="0.35">
      <c r="B665" s="32" t="s">
        <v>2544</v>
      </c>
      <c r="C665" s="5" t="s">
        <v>839</v>
      </c>
      <c r="D665" s="5" t="s">
        <v>64</v>
      </c>
      <c r="E665" s="3">
        <v>1010000</v>
      </c>
      <c r="F665" s="3">
        <v>0</v>
      </c>
      <c r="G665" s="54">
        <f t="shared" si="175"/>
        <v>0</v>
      </c>
      <c r="H665" s="62">
        <f t="shared" ref="H665:H685" si="187">+G665*1.06</f>
        <v>0</v>
      </c>
      <c r="I665" s="3">
        <f t="shared" si="185"/>
        <v>0</v>
      </c>
      <c r="J665" s="18">
        <f t="shared" si="186"/>
        <v>0</v>
      </c>
    </row>
    <row r="666" spans="2:10" x14ac:dyDescent="0.35">
      <c r="B666" s="32" t="s">
        <v>2544</v>
      </c>
      <c r="C666" s="5" t="s">
        <v>840</v>
      </c>
      <c r="D666" s="5" t="s">
        <v>66</v>
      </c>
      <c r="E666" s="3">
        <v>0</v>
      </c>
      <c r="F666" s="3">
        <v>0</v>
      </c>
      <c r="G666" s="54">
        <f t="shared" si="175"/>
        <v>0</v>
      </c>
      <c r="H666" s="62">
        <f t="shared" si="187"/>
        <v>0</v>
      </c>
      <c r="I666" s="3">
        <f t="shared" si="185"/>
        <v>0</v>
      </c>
      <c r="J666" s="18">
        <f t="shared" si="186"/>
        <v>0</v>
      </c>
    </row>
    <row r="667" spans="2:10" x14ac:dyDescent="0.35">
      <c r="B667" s="32" t="s">
        <v>2544</v>
      </c>
      <c r="C667" s="5" t="s">
        <v>841</v>
      </c>
      <c r="D667" s="5" t="s">
        <v>68</v>
      </c>
      <c r="E667" s="3">
        <v>0</v>
      </c>
      <c r="F667" s="3">
        <v>0</v>
      </c>
      <c r="G667" s="54">
        <f t="shared" si="175"/>
        <v>0</v>
      </c>
      <c r="H667" s="62">
        <f t="shared" si="187"/>
        <v>0</v>
      </c>
      <c r="I667" s="3">
        <f t="shared" si="185"/>
        <v>0</v>
      </c>
      <c r="J667" s="18">
        <f t="shared" si="186"/>
        <v>0</v>
      </c>
    </row>
    <row r="668" spans="2:10" x14ac:dyDescent="0.35">
      <c r="B668" s="32" t="s">
        <v>2544</v>
      </c>
      <c r="C668" s="5" t="s">
        <v>842</v>
      </c>
      <c r="D668" s="5" t="s">
        <v>90</v>
      </c>
      <c r="E668" s="3">
        <v>6000</v>
      </c>
      <c r="F668" s="3">
        <v>6000</v>
      </c>
      <c r="G668" s="54">
        <f t="shared" si="175"/>
        <v>10285.714285714286</v>
      </c>
      <c r="H668" s="62">
        <f t="shared" si="187"/>
        <v>10902.857142857143</v>
      </c>
      <c r="I668" s="3">
        <f t="shared" si="185"/>
        <v>11502.514285714286</v>
      </c>
      <c r="J668" s="18">
        <f t="shared" si="186"/>
        <v>12112.147542857141</v>
      </c>
    </row>
    <row r="669" spans="2:10" x14ac:dyDescent="0.35">
      <c r="B669" s="32" t="s">
        <v>2544</v>
      </c>
      <c r="C669" s="5" t="s">
        <v>843</v>
      </c>
      <c r="D669" s="5" t="s">
        <v>440</v>
      </c>
      <c r="E669" s="3">
        <v>15000</v>
      </c>
      <c r="F669" s="3">
        <v>3390.01</v>
      </c>
      <c r="G669" s="54">
        <f t="shared" si="175"/>
        <v>5811.4457142857145</v>
      </c>
      <c r="H669" s="62">
        <f t="shared" si="187"/>
        <v>6160.1324571428577</v>
      </c>
      <c r="I669" s="3">
        <f t="shared" si="185"/>
        <v>6498.9397422857146</v>
      </c>
      <c r="J669" s="18">
        <f t="shared" si="186"/>
        <v>6843.3835486268572</v>
      </c>
    </row>
    <row r="670" spans="2:10" x14ac:dyDescent="0.35">
      <c r="B670" s="32" t="s">
        <v>2544</v>
      </c>
      <c r="C670" s="5" t="s">
        <v>844</v>
      </c>
      <c r="D670" s="5" t="s">
        <v>94</v>
      </c>
      <c r="E670" s="3">
        <v>0</v>
      </c>
      <c r="F670" s="3">
        <v>0</v>
      </c>
      <c r="G670" s="54">
        <f t="shared" si="175"/>
        <v>0</v>
      </c>
      <c r="H670" s="62">
        <f t="shared" si="187"/>
        <v>0</v>
      </c>
      <c r="I670" s="3">
        <f t="shared" si="185"/>
        <v>0</v>
      </c>
      <c r="J670" s="18">
        <f t="shared" si="186"/>
        <v>0</v>
      </c>
    </row>
    <row r="671" spans="2:10" x14ac:dyDescent="0.35">
      <c r="B671" s="32" t="s">
        <v>2544</v>
      </c>
      <c r="C671" s="5" t="s">
        <v>845</v>
      </c>
      <c r="D671" s="5" t="s">
        <v>541</v>
      </c>
      <c r="E671" s="3">
        <v>0</v>
      </c>
      <c r="F671" s="3">
        <v>0</v>
      </c>
      <c r="G671" s="54">
        <f t="shared" si="175"/>
        <v>0</v>
      </c>
      <c r="H671" s="62">
        <f t="shared" si="187"/>
        <v>0</v>
      </c>
      <c r="I671" s="3">
        <f t="shared" si="185"/>
        <v>0</v>
      </c>
      <c r="J671" s="18">
        <f t="shared" si="186"/>
        <v>0</v>
      </c>
    </row>
    <row r="672" spans="2:10" x14ac:dyDescent="0.35">
      <c r="B672" s="32" t="s">
        <v>2544</v>
      </c>
      <c r="C672" s="5" t="s">
        <v>846</v>
      </c>
      <c r="D672" s="5" t="s">
        <v>543</v>
      </c>
      <c r="E672" s="3">
        <v>324800</v>
      </c>
      <c r="F672" s="3">
        <f>207395.16-287.4</f>
        <v>207107.76</v>
      </c>
      <c r="G672" s="54">
        <f t="shared" si="175"/>
        <v>355041.87428571429</v>
      </c>
      <c r="H672" s="75">
        <v>255000</v>
      </c>
      <c r="I672" s="3">
        <f t="shared" si="185"/>
        <v>269025</v>
      </c>
      <c r="J672" s="18">
        <f t="shared" si="186"/>
        <v>283283.32500000001</v>
      </c>
    </row>
    <row r="673" spans="2:12" x14ac:dyDescent="0.35">
      <c r="B673" s="32" t="s">
        <v>2544</v>
      </c>
      <c r="C673" s="5" t="s">
        <v>847</v>
      </c>
      <c r="D673" s="5" t="s">
        <v>848</v>
      </c>
      <c r="E673" s="3">
        <v>0</v>
      </c>
      <c r="F673" s="3">
        <v>0</v>
      </c>
      <c r="G673" s="54">
        <f t="shared" si="175"/>
        <v>0</v>
      </c>
      <c r="H673" s="62">
        <f t="shared" si="187"/>
        <v>0</v>
      </c>
      <c r="I673" s="3">
        <f t="shared" si="185"/>
        <v>0</v>
      </c>
      <c r="J673" s="18">
        <f t="shared" si="186"/>
        <v>0</v>
      </c>
    </row>
    <row r="674" spans="2:12" x14ac:dyDescent="0.35">
      <c r="B674" s="32" t="s">
        <v>2544</v>
      </c>
      <c r="C674" s="5" t="s">
        <v>849</v>
      </c>
      <c r="D674" s="5" t="s">
        <v>98</v>
      </c>
      <c r="E674" s="3">
        <v>9914</v>
      </c>
      <c r="F674" s="3">
        <v>4656.6499999999996</v>
      </c>
      <c r="G674" s="54">
        <f t="shared" si="175"/>
        <v>7982.8285714285712</v>
      </c>
      <c r="H674" s="75">
        <f t="shared" si="187"/>
        <v>8461.7982857142852</v>
      </c>
      <c r="I674" s="3">
        <f t="shared" si="185"/>
        <v>8927.1971914285696</v>
      </c>
      <c r="J674" s="18">
        <f t="shared" si="186"/>
        <v>9400.3386425742829</v>
      </c>
    </row>
    <row r="675" spans="2:12" x14ac:dyDescent="0.35">
      <c r="B675" s="32" t="s">
        <v>2544</v>
      </c>
      <c r="C675" s="5" t="s">
        <v>850</v>
      </c>
      <c r="D675" s="5" t="s">
        <v>851</v>
      </c>
      <c r="E675" s="3">
        <v>82000</v>
      </c>
      <c r="F675" s="3">
        <v>72991.259999999995</v>
      </c>
      <c r="G675" s="54">
        <f t="shared" si="175"/>
        <v>125127.87428571429</v>
      </c>
      <c r="H675" s="62"/>
      <c r="I675" s="3">
        <f t="shared" si="185"/>
        <v>0</v>
      </c>
      <c r="J675" s="18">
        <f t="shared" si="186"/>
        <v>0</v>
      </c>
    </row>
    <row r="676" spans="2:12" x14ac:dyDescent="0.35">
      <c r="B676" s="32" t="s">
        <v>2544</v>
      </c>
      <c r="C676" s="5" t="s">
        <v>852</v>
      </c>
      <c r="D676" s="5" t="s">
        <v>748</v>
      </c>
      <c r="E676" s="3">
        <v>0</v>
      </c>
      <c r="F676" s="3">
        <v>0</v>
      </c>
      <c r="G676" s="54">
        <f t="shared" si="175"/>
        <v>0</v>
      </c>
      <c r="H676" s="62">
        <f t="shared" si="187"/>
        <v>0</v>
      </c>
      <c r="I676" s="3">
        <f t="shared" si="185"/>
        <v>0</v>
      </c>
      <c r="J676" s="18">
        <f t="shared" si="186"/>
        <v>0</v>
      </c>
    </row>
    <row r="677" spans="2:12" x14ac:dyDescent="0.35">
      <c r="B677" s="32" t="s">
        <v>2544</v>
      </c>
      <c r="C677" s="5" t="s">
        <v>853</v>
      </c>
      <c r="D677" s="5" t="s">
        <v>238</v>
      </c>
      <c r="E677" s="3">
        <v>0</v>
      </c>
      <c r="F677" s="3">
        <v>0</v>
      </c>
      <c r="G677" s="54">
        <f t="shared" si="175"/>
        <v>0</v>
      </c>
      <c r="H677" s="62">
        <f t="shared" si="187"/>
        <v>0</v>
      </c>
      <c r="I677" s="3">
        <f t="shared" si="185"/>
        <v>0</v>
      </c>
      <c r="J677" s="18">
        <f t="shared" si="186"/>
        <v>0</v>
      </c>
      <c r="L677">
        <v>380000</v>
      </c>
    </row>
    <row r="678" spans="2:12" x14ac:dyDescent="0.35">
      <c r="B678" s="32" t="s">
        <v>2544</v>
      </c>
      <c r="C678" s="5" t="s">
        <v>854</v>
      </c>
      <c r="D678" s="5" t="s">
        <v>240</v>
      </c>
      <c r="E678" s="3">
        <v>0</v>
      </c>
      <c r="F678" s="3">
        <v>0</v>
      </c>
      <c r="G678" s="54">
        <f t="shared" si="175"/>
        <v>0</v>
      </c>
      <c r="H678" s="62">
        <f t="shared" si="187"/>
        <v>0</v>
      </c>
      <c r="I678" s="3">
        <f t="shared" si="185"/>
        <v>0</v>
      </c>
      <c r="J678" s="18">
        <f t="shared" si="186"/>
        <v>0</v>
      </c>
      <c r="L678">
        <v>-125000</v>
      </c>
    </row>
    <row r="679" spans="2:12" x14ac:dyDescent="0.35">
      <c r="B679" s="32" t="s">
        <v>2544</v>
      </c>
      <c r="C679" s="5" t="s">
        <v>855</v>
      </c>
      <c r="D679" s="5" t="s">
        <v>417</v>
      </c>
      <c r="E679" s="3">
        <v>200000</v>
      </c>
      <c r="F679" s="3">
        <f>257645.44-13594.55</f>
        <v>244050.89</v>
      </c>
      <c r="G679" s="54">
        <f t="shared" si="175"/>
        <v>418372.95428571431</v>
      </c>
      <c r="H679" s="75">
        <v>80000</v>
      </c>
      <c r="I679" s="3">
        <f t="shared" si="185"/>
        <v>84400</v>
      </c>
      <c r="J679" s="18">
        <f t="shared" si="186"/>
        <v>88873.2</v>
      </c>
    </row>
    <row r="680" spans="2:12" x14ac:dyDescent="0.35">
      <c r="B680" s="32" t="s">
        <v>2544</v>
      </c>
      <c r="C680" s="5" t="s">
        <v>856</v>
      </c>
      <c r="D680" s="5" t="s">
        <v>548</v>
      </c>
      <c r="E680" s="3">
        <v>300000</v>
      </c>
      <c r="F680" s="3">
        <f>240296.46-103.68</f>
        <v>240192.78</v>
      </c>
      <c r="G680" s="54">
        <f t="shared" si="175"/>
        <v>411759.0514285714</v>
      </c>
      <c r="H680" s="75">
        <v>252000</v>
      </c>
      <c r="I680" s="3">
        <f t="shared" si="185"/>
        <v>265860</v>
      </c>
      <c r="J680" s="18">
        <f t="shared" si="186"/>
        <v>279950.57999999996</v>
      </c>
    </row>
    <row r="681" spans="2:12" x14ac:dyDescent="0.35">
      <c r="B681" s="32"/>
      <c r="C681" s="5"/>
      <c r="D681" s="5" t="s">
        <v>2646</v>
      </c>
      <c r="E681" s="3"/>
      <c r="F681" s="3"/>
      <c r="G681" s="54"/>
      <c r="H681" s="75">
        <v>1150000</v>
      </c>
      <c r="I681" s="3"/>
      <c r="J681" s="18"/>
    </row>
    <row r="682" spans="2:12" x14ac:dyDescent="0.35">
      <c r="B682" s="32"/>
      <c r="C682" s="5"/>
      <c r="D682" s="5" t="s">
        <v>2645</v>
      </c>
      <c r="E682" s="3"/>
      <c r="F682" s="3"/>
      <c r="G682" s="54"/>
      <c r="H682" s="75"/>
      <c r="I682" s="3"/>
      <c r="J682" s="18"/>
    </row>
    <row r="683" spans="2:12" x14ac:dyDescent="0.35">
      <c r="B683" s="32" t="s">
        <v>2544</v>
      </c>
      <c r="C683" s="5" t="s">
        <v>857</v>
      </c>
      <c r="D683" s="5" t="s">
        <v>120</v>
      </c>
      <c r="E683" s="3">
        <v>0</v>
      </c>
      <c r="F683" s="3">
        <v>0</v>
      </c>
      <c r="G683" s="54">
        <f t="shared" si="175"/>
        <v>0</v>
      </c>
      <c r="H683" s="62">
        <f t="shared" si="187"/>
        <v>0</v>
      </c>
      <c r="I683" s="3">
        <f t="shared" si="185"/>
        <v>0</v>
      </c>
      <c r="J683" s="18">
        <f t="shared" si="186"/>
        <v>0</v>
      </c>
    </row>
    <row r="684" spans="2:12" x14ac:dyDescent="0.35">
      <c r="B684" s="32" t="s">
        <v>2544</v>
      </c>
      <c r="C684" s="5" t="s">
        <v>858</v>
      </c>
      <c r="D684" s="5" t="s">
        <v>420</v>
      </c>
      <c r="E684" s="3">
        <v>0</v>
      </c>
      <c r="F684" s="3">
        <v>0</v>
      </c>
      <c r="G684" s="54">
        <f t="shared" si="175"/>
        <v>0</v>
      </c>
      <c r="H684" s="62">
        <f t="shared" si="187"/>
        <v>0</v>
      </c>
      <c r="I684" s="3">
        <f t="shared" si="185"/>
        <v>0</v>
      </c>
      <c r="J684" s="18">
        <f t="shared" si="186"/>
        <v>0</v>
      </c>
    </row>
    <row r="685" spans="2:12" x14ac:dyDescent="0.35">
      <c r="B685" s="32" t="s">
        <v>2544</v>
      </c>
      <c r="C685" s="5" t="s">
        <v>859</v>
      </c>
      <c r="D685" s="5" t="s">
        <v>760</v>
      </c>
      <c r="E685" s="3">
        <v>2964292</v>
      </c>
      <c r="F685" s="3">
        <v>0</v>
      </c>
      <c r="G685" s="54">
        <f t="shared" si="175"/>
        <v>0</v>
      </c>
      <c r="H685" s="62">
        <f t="shared" si="187"/>
        <v>0</v>
      </c>
      <c r="I685" s="3">
        <f t="shared" si="185"/>
        <v>0</v>
      </c>
      <c r="J685" s="18">
        <f t="shared" si="186"/>
        <v>0</v>
      </c>
    </row>
    <row r="686" spans="2:12" x14ac:dyDescent="0.35">
      <c r="B686" s="32" t="s">
        <v>2544</v>
      </c>
      <c r="C686" s="5" t="s">
        <v>860</v>
      </c>
      <c r="D686" s="5" t="s">
        <v>368</v>
      </c>
      <c r="E686" s="3">
        <v>48000</v>
      </c>
      <c r="F686" s="3">
        <v>24764.05</v>
      </c>
      <c r="G686" s="54">
        <f t="shared" si="175"/>
        <v>42452.657142857141</v>
      </c>
      <c r="H686" s="62">
        <v>0</v>
      </c>
      <c r="I686" s="3">
        <f t="shared" si="185"/>
        <v>0</v>
      </c>
      <c r="J686" s="18">
        <f t="shared" si="186"/>
        <v>0</v>
      </c>
    </row>
    <row r="687" spans="2:12" x14ac:dyDescent="0.35">
      <c r="B687" s="33" t="s">
        <v>2546</v>
      </c>
      <c r="C687" s="5"/>
      <c r="D687" s="5"/>
      <c r="E687" s="10">
        <f>SUM(E651:E686)</f>
        <v>8418255</v>
      </c>
      <c r="F687" s="10">
        <f t="shared" ref="F687:G687" si="188">SUM(F651:F686)</f>
        <v>2237882.0499999993</v>
      </c>
      <c r="G687" s="59">
        <f t="shared" si="188"/>
        <v>3836369.228571428</v>
      </c>
      <c r="H687" s="63">
        <f t="shared" ref="H687:J687" si="189">SUM(H651:H686)</f>
        <v>4364712.6365142865</v>
      </c>
      <c r="I687" s="10">
        <f t="shared" si="189"/>
        <v>3391521.8315225719</v>
      </c>
      <c r="J687" s="22">
        <f t="shared" si="189"/>
        <v>3571272.4885932677</v>
      </c>
    </row>
    <row r="688" spans="2:12" s="8" customFormat="1" ht="8.25" customHeight="1" x14ac:dyDescent="0.35">
      <c r="B688" s="23"/>
      <c r="E688" s="39"/>
      <c r="F688" s="39"/>
      <c r="G688" s="39"/>
      <c r="H688" s="68"/>
      <c r="I688" s="39"/>
      <c r="J688" s="40"/>
    </row>
    <row r="689" spans="2:12" ht="15" thickBot="1" x14ac:dyDescent="0.4">
      <c r="B689" s="35" t="s">
        <v>2548</v>
      </c>
      <c r="C689" s="25"/>
      <c r="D689" s="25"/>
      <c r="E689" s="26">
        <f>+E649+E687</f>
        <v>2185651</v>
      </c>
      <c r="F689" s="26">
        <f t="shared" ref="F689:G689" si="190">+F649+F687</f>
        <v>1033429.2599999993</v>
      </c>
      <c r="G689" s="60">
        <f t="shared" si="190"/>
        <v>1771593.0171428565</v>
      </c>
      <c r="H689" s="65">
        <f t="shared" ref="H689:J689" si="191">+H649+H687</f>
        <v>1212984.2636000006</v>
      </c>
      <c r="I689" s="26">
        <f t="shared" si="191"/>
        <v>76998.398098000325</v>
      </c>
      <c r="J689" s="27">
        <f t="shared" si="191"/>
        <v>81079.313197194133</v>
      </c>
    </row>
    <row r="692" spans="2:12" ht="15" thickBot="1" x14ac:dyDescent="0.4">
      <c r="B692" s="12" t="s">
        <v>2606</v>
      </c>
      <c r="C692" s="8"/>
      <c r="D692" s="8"/>
      <c r="E692" s="9"/>
      <c r="F692" s="9"/>
      <c r="G692" s="9"/>
      <c r="H692" s="9"/>
      <c r="I692" s="9"/>
      <c r="J692" s="9"/>
    </row>
    <row r="693" spans="2:12" x14ac:dyDescent="0.35">
      <c r="B693" s="31" t="s">
        <v>2543</v>
      </c>
      <c r="C693" s="14" t="s">
        <v>808</v>
      </c>
      <c r="D693" s="69" t="s">
        <v>809</v>
      </c>
      <c r="E693" s="15">
        <v>-2967684</v>
      </c>
      <c r="F693" s="15">
        <f>90-1514410</f>
        <v>-1514320</v>
      </c>
      <c r="G693" s="58">
        <f t="shared" ref="G693:G700" si="192">+F693/7*12</f>
        <v>-2595977.1428571427</v>
      </c>
      <c r="H693" s="76">
        <f>+G693*1.06</f>
        <v>-2751735.7714285715</v>
      </c>
      <c r="I693" s="15">
        <f>+H693*1.055</f>
        <v>-2903081.2388571426</v>
      </c>
      <c r="J693" s="16">
        <f>+I693*1.053</f>
        <v>-3056944.5445165709</v>
      </c>
    </row>
    <row r="694" spans="2:12" x14ac:dyDescent="0.35">
      <c r="B694" s="32" t="s">
        <v>2543</v>
      </c>
      <c r="C694" s="5" t="s">
        <v>810</v>
      </c>
      <c r="D694" s="66" t="s">
        <v>811</v>
      </c>
      <c r="E694" s="3">
        <v>1208321</v>
      </c>
      <c r="F694" s="3">
        <v>538112.97</v>
      </c>
      <c r="G694" s="54">
        <f t="shared" si="192"/>
        <v>922479.37714285706</v>
      </c>
      <c r="H694" s="62"/>
      <c r="I694" s="3">
        <f t="shared" ref="I694:I700" si="193">+H694*1.055</f>
        <v>0</v>
      </c>
      <c r="J694" s="18">
        <f t="shared" ref="J694:J700" si="194">+I694*1.053</f>
        <v>0</v>
      </c>
    </row>
    <row r="695" spans="2:12" x14ac:dyDescent="0.35">
      <c r="B695" s="32" t="s">
        <v>2543</v>
      </c>
      <c r="C695" s="5" t="s">
        <v>816</v>
      </c>
      <c r="D695" s="66" t="s">
        <v>817</v>
      </c>
      <c r="E695" s="3">
        <v>-4800</v>
      </c>
      <c r="F695" s="3">
        <f>196.8-1821.9</f>
        <v>-1625.1000000000001</v>
      </c>
      <c r="G695" s="54">
        <f t="shared" si="192"/>
        <v>-2785.8857142857146</v>
      </c>
      <c r="H695" s="75">
        <v>-9000</v>
      </c>
      <c r="I695" s="3">
        <f t="shared" si="193"/>
        <v>-9495</v>
      </c>
      <c r="J695" s="18">
        <f t="shared" si="194"/>
        <v>-9998.2349999999988</v>
      </c>
      <c r="L695">
        <f>3*250*12</f>
        <v>9000</v>
      </c>
    </row>
    <row r="696" spans="2:12" x14ac:dyDescent="0.35">
      <c r="B696" s="32" t="s">
        <v>2543</v>
      </c>
      <c r="C696" s="5" t="s">
        <v>818</v>
      </c>
      <c r="D696" s="66" t="s">
        <v>126</v>
      </c>
      <c r="E696" s="3">
        <v>0</v>
      </c>
      <c r="F696" s="3">
        <v>0</v>
      </c>
      <c r="G696" s="54">
        <f t="shared" si="192"/>
        <v>0</v>
      </c>
      <c r="H696" s="62">
        <f t="shared" ref="H696:H700" si="195">+G696*1.06</f>
        <v>0</v>
      </c>
      <c r="I696" s="3">
        <f t="shared" si="193"/>
        <v>0</v>
      </c>
      <c r="J696" s="18">
        <f t="shared" si="194"/>
        <v>0</v>
      </c>
    </row>
    <row r="697" spans="2:12" x14ac:dyDescent="0.35">
      <c r="B697" s="32" t="s">
        <v>2543</v>
      </c>
      <c r="C697" s="5" t="s">
        <v>819</v>
      </c>
      <c r="D697" s="66" t="s">
        <v>16</v>
      </c>
      <c r="E697" s="3"/>
      <c r="F697" s="3">
        <v>0</v>
      </c>
      <c r="G697" s="54">
        <f t="shared" si="192"/>
        <v>0</v>
      </c>
      <c r="H697" s="62">
        <f t="shared" si="195"/>
        <v>0</v>
      </c>
      <c r="I697" s="3">
        <f t="shared" si="193"/>
        <v>0</v>
      </c>
      <c r="J697" s="18">
        <f t="shared" si="194"/>
        <v>0</v>
      </c>
    </row>
    <row r="698" spans="2:12" x14ac:dyDescent="0.35">
      <c r="B698" s="32" t="s">
        <v>2543</v>
      </c>
      <c r="C698" s="5" t="s">
        <v>820</v>
      </c>
      <c r="D698" s="66" t="s">
        <v>821</v>
      </c>
      <c r="E698" s="3">
        <v>0</v>
      </c>
      <c r="F698" s="3">
        <v>0</v>
      </c>
      <c r="G698" s="54">
        <f t="shared" si="192"/>
        <v>0</v>
      </c>
      <c r="H698" s="62">
        <f t="shared" si="195"/>
        <v>0</v>
      </c>
      <c r="I698" s="3">
        <f t="shared" si="193"/>
        <v>0</v>
      </c>
      <c r="J698" s="18">
        <f t="shared" si="194"/>
        <v>0</v>
      </c>
    </row>
    <row r="699" spans="2:12" x14ac:dyDescent="0.35">
      <c r="B699" s="32" t="s">
        <v>2543</v>
      </c>
      <c r="C699" s="5" t="s">
        <v>822</v>
      </c>
      <c r="D699" s="66" t="s">
        <v>30</v>
      </c>
      <c r="E699" s="3">
        <v>0</v>
      </c>
      <c r="F699" s="3">
        <v>0</v>
      </c>
      <c r="G699" s="54">
        <f t="shared" si="192"/>
        <v>0</v>
      </c>
      <c r="H699" s="62">
        <f t="shared" si="195"/>
        <v>0</v>
      </c>
      <c r="I699" s="3">
        <f t="shared" si="193"/>
        <v>0</v>
      </c>
      <c r="J699" s="18">
        <f t="shared" si="194"/>
        <v>0</v>
      </c>
    </row>
    <row r="700" spans="2:12" x14ac:dyDescent="0.35">
      <c r="B700" s="32" t="s">
        <v>2543</v>
      </c>
      <c r="C700" s="5" t="s">
        <v>823</v>
      </c>
      <c r="D700" s="5" t="s">
        <v>32</v>
      </c>
      <c r="E700" s="3">
        <v>0</v>
      </c>
      <c r="F700" s="3">
        <v>0</v>
      </c>
      <c r="G700" s="54">
        <f t="shared" si="192"/>
        <v>0</v>
      </c>
      <c r="H700" s="62">
        <f t="shared" si="195"/>
        <v>0</v>
      </c>
      <c r="I700" s="3">
        <f t="shared" si="193"/>
        <v>0</v>
      </c>
      <c r="J700" s="18">
        <f t="shared" si="194"/>
        <v>0</v>
      </c>
    </row>
    <row r="701" spans="2:12" x14ac:dyDescent="0.35">
      <c r="B701" s="33" t="s">
        <v>2545</v>
      </c>
      <c r="C701" s="5"/>
      <c r="D701" s="5"/>
      <c r="E701" s="10">
        <f>SUM(E693:E700)</f>
        <v>-1764163</v>
      </c>
      <c r="F701" s="10">
        <f t="shared" ref="F701:J701" si="196">SUM(F693:F700)</f>
        <v>-977832.13</v>
      </c>
      <c r="G701" s="59">
        <f t="shared" si="196"/>
        <v>-1676283.6514285714</v>
      </c>
      <c r="H701" s="63">
        <f t="shared" si="196"/>
        <v>-2760735.7714285715</v>
      </c>
      <c r="I701" s="10">
        <f t="shared" si="196"/>
        <v>-2912576.2388571426</v>
      </c>
      <c r="J701" s="22">
        <f t="shared" si="196"/>
        <v>-3066942.7795165707</v>
      </c>
    </row>
    <row r="702" spans="2:12" s="8" customFormat="1" x14ac:dyDescent="0.35">
      <c r="B702" s="23"/>
      <c r="E702" s="9"/>
      <c r="F702" s="9"/>
      <c r="G702" s="9"/>
      <c r="H702" s="64"/>
      <c r="I702" s="9"/>
      <c r="J702" s="21"/>
    </row>
    <row r="703" spans="2:12" x14ac:dyDescent="0.35">
      <c r="B703" s="32" t="s">
        <v>2544</v>
      </c>
      <c r="C703" s="5" t="s">
        <v>824</v>
      </c>
      <c r="D703" s="5" t="s">
        <v>34</v>
      </c>
      <c r="E703" s="3"/>
      <c r="F703" s="3"/>
      <c r="G703" s="54"/>
      <c r="H703" s="62">
        <f>+G703*1.058</f>
        <v>0</v>
      </c>
      <c r="I703" s="3">
        <f>+H703*1.055</f>
        <v>0</v>
      </c>
      <c r="J703" s="18">
        <f>+I703*1.053</f>
        <v>0</v>
      </c>
    </row>
    <row r="704" spans="2:12" x14ac:dyDescent="0.35">
      <c r="B704" s="32" t="s">
        <v>2544</v>
      </c>
      <c r="C704" s="5" t="s">
        <v>825</v>
      </c>
      <c r="D704" s="5" t="s">
        <v>36</v>
      </c>
      <c r="E704" s="3"/>
      <c r="F704" s="3"/>
      <c r="G704" s="54"/>
      <c r="H704" s="62">
        <f t="shared" ref="H704:H715" si="197">+G704*1.058</f>
        <v>0</v>
      </c>
      <c r="I704" s="3">
        <f t="shared" ref="I704:I737" si="198">+H704*1.055</f>
        <v>0</v>
      </c>
      <c r="J704" s="18">
        <f t="shared" ref="J704:J737" si="199">+I704*1.053</f>
        <v>0</v>
      </c>
    </row>
    <row r="705" spans="2:10" x14ac:dyDescent="0.35">
      <c r="B705" s="32" t="s">
        <v>2544</v>
      </c>
      <c r="C705" s="5" t="s">
        <v>826</v>
      </c>
      <c r="D705" s="5" t="s">
        <v>38</v>
      </c>
      <c r="E705" s="3"/>
      <c r="F705" s="3"/>
      <c r="G705" s="54"/>
      <c r="H705" s="62">
        <f t="shared" si="197"/>
        <v>0</v>
      </c>
      <c r="I705" s="3">
        <f t="shared" si="198"/>
        <v>0</v>
      </c>
      <c r="J705" s="18">
        <f t="shared" si="199"/>
        <v>0</v>
      </c>
    </row>
    <row r="706" spans="2:10" x14ac:dyDescent="0.35">
      <c r="B706" s="32" t="s">
        <v>2544</v>
      </c>
      <c r="C706" s="5" t="s">
        <v>827</v>
      </c>
      <c r="D706" s="5" t="s">
        <v>40</v>
      </c>
      <c r="E706" s="3"/>
      <c r="F706" s="3"/>
      <c r="G706" s="54"/>
      <c r="H706" s="62">
        <f t="shared" si="197"/>
        <v>0</v>
      </c>
      <c r="I706" s="3">
        <f t="shared" si="198"/>
        <v>0</v>
      </c>
      <c r="J706" s="18">
        <f t="shared" si="199"/>
        <v>0</v>
      </c>
    </row>
    <row r="707" spans="2:10" x14ac:dyDescent="0.35">
      <c r="B707" s="32" t="s">
        <v>2544</v>
      </c>
      <c r="C707" s="5" t="s">
        <v>828</v>
      </c>
      <c r="D707" s="5" t="s">
        <v>526</v>
      </c>
      <c r="E707" s="3"/>
      <c r="F707" s="3"/>
      <c r="G707" s="54"/>
      <c r="H707" s="62">
        <f t="shared" si="197"/>
        <v>0</v>
      </c>
      <c r="I707" s="3">
        <f t="shared" si="198"/>
        <v>0</v>
      </c>
      <c r="J707" s="18">
        <f t="shared" si="199"/>
        <v>0</v>
      </c>
    </row>
    <row r="708" spans="2:10" x14ac:dyDescent="0.35">
      <c r="B708" s="32" t="s">
        <v>2544</v>
      </c>
      <c r="C708" s="5" t="s">
        <v>829</v>
      </c>
      <c r="D708" s="5" t="s">
        <v>197</v>
      </c>
      <c r="E708" s="3"/>
      <c r="F708" s="3"/>
      <c r="G708" s="54"/>
      <c r="H708" s="62">
        <f t="shared" si="197"/>
        <v>0</v>
      </c>
      <c r="I708" s="3">
        <f t="shared" si="198"/>
        <v>0</v>
      </c>
      <c r="J708" s="18">
        <f t="shared" si="199"/>
        <v>0</v>
      </c>
    </row>
    <row r="709" spans="2:10" x14ac:dyDescent="0.35">
      <c r="B709" s="32" t="s">
        <v>2544</v>
      </c>
      <c r="C709" s="5" t="s">
        <v>830</v>
      </c>
      <c r="D709" s="5" t="s">
        <v>831</v>
      </c>
      <c r="E709" s="3"/>
      <c r="F709" s="3"/>
      <c r="G709" s="54"/>
      <c r="H709" s="62">
        <f t="shared" si="197"/>
        <v>0</v>
      </c>
      <c r="I709" s="3">
        <f t="shared" si="198"/>
        <v>0</v>
      </c>
      <c r="J709" s="18">
        <f t="shared" si="199"/>
        <v>0</v>
      </c>
    </row>
    <row r="710" spans="2:10" x14ac:dyDescent="0.35">
      <c r="B710" s="32" t="s">
        <v>2544</v>
      </c>
      <c r="C710" s="5" t="s">
        <v>832</v>
      </c>
      <c r="D710" s="5" t="s">
        <v>42</v>
      </c>
      <c r="E710" s="3"/>
      <c r="F710" s="3"/>
      <c r="G710" s="54"/>
      <c r="H710" s="62">
        <f t="shared" si="197"/>
        <v>0</v>
      </c>
      <c r="I710" s="3">
        <f t="shared" si="198"/>
        <v>0</v>
      </c>
      <c r="J710" s="18">
        <f t="shared" si="199"/>
        <v>0</v>
      </c>
    </row>
    <row r="711" spans="2:10" x14ac:dyDescent="0.35">
      <c r="B711" s="32" t="s">
        <v>2544</v>
      </c>
      <c r="C711" s="5" t="s">
        <v>833</v>
      </c>
      <c r="D711" s="5" t="s">
        <v>44</v>
      </c>
      <c r="E711" s="3"/>
      <c r="F711" s="3"/>
      <c r="G711" s="54"/>
      <c r="H711" s="62">
        <f t="shared" si="197"/>
        <v>0</v>
      </c>
      <c r="I711" s="3">
        <f t="shared" si="198"/>
        <v>0</v>
      </c>
      <c r="J711" s="18">
        <f t="shared" si="199"/>
        <v>0</v>
      </c>
    </row>
    <row r="712" spans="2:10" x14ac:dyDescent="0.35">
      <c r="B712" s="32" t="s">
        <v>2544</v>
      </c>
      <c r="C712" s="5" t="s">
        <v>834</v>
      </c>
      <c r="D712" s="5" t="s">
        <v>46</v>
      </c>
      <c r="E712" s="3"/>
      <c r="F712" s="3"/>
      <c r="G712" s="54"/>
      <c r="H712" s="62">
        <f t="shared" si="197"/>
        <v>0</v>
      </c>
      <c r="I712" s="3">
        <f t="shared" si="198"/>
        <v>0</v>
      </c>
      <c r="J712" s="18">
        <f t="shared" si="199"/>
        <v>0</v>
      </c>
    </row>
    <row r="713" spans="2:10" x14ac:dyDescent="0.35">
      <c r="B713" s="32" t="s">
        <v>2544</v>
      </c>
      <c r="C713" s="5" t="s">
        <v>835</v>
      </c>
      <c r="D713" s="5" t="s">
        <v>48</v>
      </c>
      <c r="E713" s="3"/>
      <c r="F713" s="3"/>
      <c r="G713" s="54"/>
      <c r="H713" s="62">
        <f t="shared" si="197"/>
        <v>0</v>
      </c>
      <c r="I713" s="3">
        <f t="shared" si="198"/>
        <v>0</v>
      </c>
      <c r="J713" s="18">
        <f t="shared" si="199"/>
        <v>0</v>
      </c>
    </row>
    <row r="714" spans="2:10" x14ac:dyDescent="0.35">
      <c r="B714" s="32" t="s">
        <v>2544</v>
      </c>
      <c r="C714" s="5" t="s">
        <v>836</v>
      </c>
      <c r="D714" s="5" t="s">
        <v>50</v>
      </c>
      <c r="E714" s="3"/>
      <c r="F714" s="3"/>
      <c r="G714" s="54"/>
      <c r="H714" s="62">
        <f t="shared" si="197"/>
        <v>0</v>
      </c>
      <c r="I714" s="3">
        <f t="shared" si="198"/>
        <v>0</v>
      </c>
      <c r="J714" s="18">
        <f t="shared" si="199"/>
        <v>0</v>
      </c>
    </row>
    <row r="715" spans="2:10" x14ac:dyDescent="0.35">
      <c r="B715" s="32" t="s">
        <v>2544</v>
      </c>
      <c r="C715" s="5" t="s">
        <v>837</v>
      </c>
      <c r="D715" s="5" t="s">
        <v>52</v>
      </c>
      <c r="E715" s="3"/>
      <c r="F715" s="3"/>
      <c r="G715" s="54"/>
      <c r="H715" s="62">
        <f t="shared" si="197"/>
        <v>0</v>
      </c>
      <c r="I715" s="3">
        <f t="shared" si="198"/>
        <v>0</v>
      </c>
      <c r="J715" s="18">
        <f t="shared" si="199"/>
        <v>0</v>
      </c>
    </row>
    <row r="716" spans="2:10" x14ac:dyDescent="0.35">
      <c r="B716" s="32" t="s">
        <v>2544</v>
      </c>
      <c r="C716" s="5" t="s">
        <v>838</v>
      </c>
      <c r="D716" s="5" t="s">
        <v>298</v>
      </c>
      <c r="E716" s="3"/>
      <c r="F716" s="3"/>
      <c r="G716" s="54"/>
      <c r="H716" s="62">
        <f>+G716*1.06</f>
        <v>0</v>
      </c>
      <c r="I716" s="3">
        <f t="shared" si="198"/>
        <v>0</v>
      </c>
      <c r="J716" s="18">
        <f t="shared" si="199"/>
        <v>0</v>
      </c>
    </row>
    <row r="717" spans="2:10" x14ac:dyDescent="0.35">
      <c r="B717" s="32" t="s">
        <v>2544</v>
      </c>
      <c r="C717" s="5" t="s">
        <v>839</v>
      </c>
      <c r="D717" s="5" t="s">
        <v>64</v>
      </c>
      <c r="E717" s="3"/>
      <c r="F717" s="3"/>
      <c r="G717" s="54"/>
      <c r="H717" s="62">
        <f t="shared" ref="H717:H736" si="200">+G717*1.06</f>
        <v>0</v>
      </c>
      <c r="I717" s="3">
        <f t="shared" si="198"/>
        <v>0</v>
      </c>
      <c r="J717" s="18">
        <f t="shared" si="199"/>
        <v>0</v>
      </c>
    </row>
    <row r="718" spans="2:10" x14ac:dyDescent="0.35">
      <c r="B718" s="32" t="s">
        <v>2544</v>
      </c>
      <c r="C718" s="5" t="s">
        <v>840</v>
      </c>
      <c r="D718" s="5" t="s">
        <v>66</v>
      </c>
      <c r="E718" s="3"/>
      <c r="F718" s="3"/>
      <c r="G718" s="54"/>
      <c r="H718" s="62">
        <f t="shared" si="200"/>
        <v>0</v>
      </c>
      <c r="I718" s="3">
        <f t="shared" si="198"/>
        <v>0</v>
      </c>
      <c r="J718" s="18">
        <f t="shared" si="199"/>
        <v>0</v>
      </c>
    </row>
    <row r="719" spans="2:10" x14ac:dyDescent="0.35">
      <c r="B719" s="32" t="s">
        <v>2544</v>
      </c>
      <c r="C719" s="5" t="s">
        <v>841</v>
      </c>
      <c r="D719" s="5" t="s">
        <v>68</v>
      </c>
      <c r="E719" s="3"/>
      <c r="F719" s="3"/>
      <c r="G719" s="54"/>
      <c r="H719" s="62">
        <f t="shared" si="200"/>
        <v>0</v>
      </c>
      <c r="I719" s="3">
        <f t="shared" si="198"/>
        <v>0</v>
      </c>
      <c r="J719" s="18">
        <f t="shared" si="199"/>
        <v>0</v>
      </c>
    </row>
    <row r="720" spans="2:10" x14ac:dyDescent="0.35">
      <c r="B720" s="32" t="s">
        <v>2544</v>
      </c>
      <c r="C720" s="5" t="s">
        <v>842</v>
      </c>
      <c r="D720" s="5" t="s">
        <v>90</v>
      </c>
      <c r="E720" s="3"/>
      <c r="F720" s="3"/>
      <c r="G720" s="54"/>
      <c r="H720" s="62">
        <f t="shared" si="200"/>
        <v>0</v>
      </c>
      <c r="I720" s="3">
        <f t="shared" si="198"/>
        <v>0</v>
      </c>
      <c r="J720" s="18">
        <f t="shared" si="199"/>
        <v>0</v>
      </c>
    </row>
    <row r="721" spans="2:10" x14ac:dyDescent="0.35">
      <c r="B721" s="32" t="s">
        <v>2544</v>
      </c>
      <c r="C721" s="5" t="s">
        <v>843</v>
      </c>
      <c r="D721" s="5" t="s">
        <v>440</v>
      </c>
      <c r="E721" s="3"/>
      <c r="F721" s="3"/>
      <c r="G721" s="54"/>
      <c r="H721" s="62">
        <f t="shared" si="200"/>
        <v>0</v>
      </c>
      <c r="I721" s="3">
        <f t="shared" si="198"/>
        <v>0</v>
      </c>
      <c r="J721" s="18">
        <f t="shared" si="199"/>
        <v>0</v>
      </c>
    </row>
    <row r="722" spans="2:10" x14ac:dyDescent="0.35">
      <c r="B722" s="32" t="s">
        <v>2544</v>
      </c>
      <c r="C722" s="5" t="s">
        <v>844</v>
      </c>
      <c r="D722" s="5" t="s">
        <v>94</v>
      </c>
      <c r="E722" s="3"/>
      <c r="F722" s="3"/>
      <c r="G722" s="54"/>
      <c r="H722" s="62">
        <f t="shared" si="200"/>
        <v>0</v>
      </c>
      <c r="I722" s="3">
        <f t="shared" si="198"/>
        <v>0</v>
      </c>
      <c r="J722" s="18">
        <f t="shared" si="199"/>
        <v>0</v>
      </c>
    </row>
    <row r="723" spans="2:10" x14ac:dyDescent="0.35">
      <c r="B723" s="32" t="s">
        <v>2544</v>
      </c>
      <c r="C723" s="5" t="s">
        <v>845</v>
      </c>
      <c r="D723" s="5" t="s">
        <v>541</v>
      </c>
      <c r="E723" s="3"/>
      <c r="F723" s="3"/>
      <c r="G723" s="54"/>
      <c r="H723" s="62">
        <f t="shared" si="200"/>
        <v>0</v>
      </c>
      <c r="I723" s="3">
        <f t="shared" si="198"/>
        <v>0</v>
      </c>
      <c r="J723" s="18">
        <f t="shared" si="199"/>
        <v>0</v>
      </c>
    </row>
    <row r="724" spans="2:10" x14ac:dyDescent="0.35">
      <c r="B724" s="32" t="s">
        <v>2544</v>
      </c>
      <c r="C724" s="5" t="s">
        <v>846</v>
      </c>
      <c r="D724" s="5" t="s">
        <v>543</v>
      </c>
      <c r="E724" s="3"/>
      <c r="F724" s="3"/>
      <c r="G724" s="54"/>
      <c r="H724" s="62">
        <v>125000</v>
      </c>
      <c r="I724" s="3">
        <f t="shared" si="198"/>
        <v>131875</v>
      </c>
      <c r="J724" s="18">
        <f t="shared" si="199"/>
        <v>138864.375</v>
      </c>
    </row>
    <row r="725" spans="2:10" x14ac:dyDescent="0.35">
      <c r="B725" s="32" t="s">
        <v>2544</v>
      </c>
      <c r="C725" s="5" t="s">
        <v>847</v>
      </c>
      <c r="D725" s="5" t="s">
        <v>848</v>
      </c>
      <c r="E725" s="3"/>
      <c r="F725" s="3"/>
      <c r="G725" s="54"/>
      <c r="H725" s="62">
        <f t="shared" si="200"/>
        <v>0</v>
      </c>
      <c r="I725" s="3">
        <f t="shared" si="198"/>
        <v>0</v>
      </c>
      <c r="J725" s="18">
        <f t="shared" si="199"/>
        <v>0</v>
      </c>
    </row>
    <row r="726" spans="2:10" x14ac:dyDescent="0.35">
      <c r="B726" s="32" t="s">
        <v>2544</v>
      </c>
      <c r="C726" s="5" t="s">
        <v>849</v>
      </c>
      <c r="D726" s="5" t="s">
        <v>98</v>
      </c>
      <c r="E726" s="3"/>
      <c r="F726" s="3"/>
      <c r="G726" s="54"/>
      <c r="H726" s="62">
        <f t="shared" si="200"/>
        <v>0</v>
      </c>
      <c r="I726" s="3">
        <f t="shared" si="198"/>
        <v>0</v>
      </c>
      <c r="J726" s="18">
        <f t="shared" si="199"/>
        <v>0</v>
      </c>
    </row>
    <row r="727" spans="2:10" x14ac:dyDescent="0.35">
      <c r="B727" s="32" t="s">
        <v>2544</v>
      </c>
      <c r="C727" s="5" t="s">
        <v>850</v>
      </c>
      <c r="D727" s="5" t="s">
        <v>851</v>
      </c>
      <c r="E727" s="3"/>
      <c r="F727" s="3"/>
      <c r="G727" s="54"/>
      <c r="H727" s="62">
        <v>105000</v>
      </c>
      <c r="I727" s="3">
        <f t="shared" si="198"/>
        <v>110775</v>
      </c>
      <c r="J727" s="18">
        <f t="shared" si="199"/>
        <v>116646.075</v>
      </c>
    </row>
    <row r="728" spans="2:10" x14ac:dyDescent="0.35">
      <c r="B728" s="32" t="s">
        <v>2544</v>
      </c>
      <c r="C728" s="5" t="s">
        <v>852</v>
      </c>
      <c r="D728" s="5" t="s">
        <v>748</v>
      </c>
      <c r="E728" s="3"/>
      <c r="F728" s="3"/>
      <c r="G728" s="54"/>
      <c r="H728" s="62">
        <f t="shared" si="200"/>
        <v>0</v>
      </c>
      <c r="I728" s="3">
        <f t="shared" si="198"/>
        <v>0</v>
      </c>
      <c r="J728" s="18">
        <f t="shared" si="199"/>
        <v>0</v>
      </c>
    </row>
    <row r="729" spans="2:10" x14ac:dyDescent="0.35">
      <c r="B729" s="32" t="s">
        <v>2544</v>
      </c>
      <c r="C729" s="5" t="s">
        <v>853</v>
      </c>
      <c r="D729" s="5" t="s">
        <v>238</v>
      </c>
      <c r="E729" s="3"/>
      <c r="F729" s="3"/>
      <c r="G729" s="54"/>
      <c r="H729" s="62">
        <f t="shared" si="200"/>
        <v>0</v>
      </c>
      <c r="I729" s="3">
        <f t="shared" si="198"/>
        <v>0</v>
      </c>
      <c r="J729" s="18">
        <f t="shared" si="199"/>
        <v>0</v>
      </c>
    </row>
    <row r="730" spans="2:10" x14ac:dyDescent="0.35">
      <c r="B730" s="32" t="s">
        <v>2544</v>
      </c>
      <c r="C730" s="5" t="s">
        <v>854</v>
      </c>
      <c r="D730" s="5" t="s">
        <v>240</v>
      </c>
      <c r="E730" s="3"/>
      <c r="F730" s="3"/>
      <c r="G730" s="54"/>
      <c r="H730" s="62">
        <f t="shared" si="200"/>
        <v>0</v>
      </c>
      <c r="I730" s="3">
        <f t="shared" si="198"/>
        <v>0</v>
      </c>
      <c r="J730" s="18">
        <f t="shared" si="199"/>
        <v>0</v>
      </c>
    </row>
    <row r="731" spans="2:10" x14ac:dyDescent="0.35">
      <c r="B731" s="32" t="s">
        <v>2544</v>
      </c>
      <c r="C731" s="5" t="s">
        <v>855</v>
      </c>
      <c r="D731" s="5" t="s">
        <v>417</v>
      </c>
      <c r="E731" s="3"/>
      <c r="F731" s="3"/>
      <c r="G731" s="54"/>
      <c r="H731" s="62">
        <v>85000</v>
      </c>
      <c r="I731" s="3">
        <f t="shared" si="198"/>
        <v>89675</v>
      </c>
      <c r="J731" s="18">
        <f t="shared" si="199"/>
        <v>94427.774999999994</v>
      </c>
    </row>
    <row r="732" spans="2:10" x14ac:dyDescent="0.35">
      <c r="B732" s="32" t="s">
        <v>2544</v>
      </c>
      <c r="C732" s="5" t="s">
        <v>856</v>
      </c>
      <c r="D732" s="5" t="s">
        <v>548</v>
      </c>
      <c r="E732" s="3"/>
      <c r="F732" s="3"/>
      <c r="G732" s="54"/>
      <c r="H732" s="62">
        <v>168000</v>
      </c>
      <c r="I732" s="3">
        <f t="shared" si="198"/>
        <v>177240</v>
      </c>
      <c r="J732" s="18">
        <f t="shared" si="199"/>
        <v>186633.72</v>
      </c>
    </row>
    <row r="733" spans="2:10" x14ac:dyDescent="0.35">
      <c r="B733" s="32"/>
      <c r="C733" s="5"/>
      <c r="D733" s="5" t="s">
        <v>2645</v>
      </c>
      <c r="E733" s="3"/>
      <c r="F733" s="3"/>
      <c r="G733" s="54"/>
      <c r="H733" s="62"/>
      <c r="I733" s="3"/>
      <c r="J733" s="18"/>
    </row>
    <row r="734" spans="2:10" x14ac:dyDescent="0.35">
      <c r="B734" s="32" t="s">
        <v>2544</v>
      </c>
      <c r="C734" s="5" t="s">
        <v>857</v>
      </c>
      <c r="D734" s="5" t="s">
        <v>120</v>
      </c>
      <c r="E734" s="3"/>
      <c r="F734" s="3"/>
      <c r="G734" s="54"/>
      <c r="H734" s="62">
        <f t="shared" si="200"/>
        <v>0</v>
      </c>
      <c r="I734" s="3">
        <f t="shared" si="198"/>
        <v>0</v>
      </c>
      <c r="J734" s="18">
        <f t="shared" si="199"/>
        <v>0</v>
      </c>
    </row>
    <row r="735" spans="2:10" x14ac:dyDescent="0.35">
      <c r="B735" s="32" t="s">
        <v>2544</v>
      </c>
      <c r="C735" s="5" t="s">
        <v>858</v>
      </c>
      <c r="D735" s="5" t="s">
        <v>420</v>
      </c>
      <c r="E735" s="3"/>
      <c r="F735" s="3"/>
      <c r="G735" s="54"/>
      <c r="H735" s="62">
        <f t="shared" si="200"/>
        <v>0</v>
      </c>
      <c r="I735" s="3">
        <f t="shared" si="198"/>
        <v>0</v>
      </c>
      <c r="J735" s="18">
        <f t="shared" si="199"/>
        <v>0</v>
      </c>
    </row>
    <row r="736" spans="2:10" x14ac:dyDescent="0.35">
      <c r="B736" s="32" t="s">
        <v>2544</v>
      </c>
      <c r="C736" s="5" t="s">
        <v>859</v>
      </c>
      <c r="D736" s="5" t="s">
        <v>760</v>
      </c>
      <c r="E736" s="3"/>
      <c r="F736" s="3"/>
      <c r="G736" s="54"/>
      <c r="H736" s="62">
        <f t="shared" si="200"/>
        <v>0</v>
      </c>
      <c r="I736" s="3">
        <f t="shared" si="198"/>
        <v>0</v>
      </c>
      <c r="J736" s="18">
        <f t="shared" si="199"/>
        <v>0</v>
      </c>
    </row>
    <row r="737" spans="2:10" x14ac:dyDescent="0.35">
      <c r="B737" s="32" t="s">
        <v>2544</v>
      </c>
      <c r="C737" s="5" t="s">
        <v>860</v>
      </c>
      <c r="D737" s="5" t="s">
        <v>368</v>
      </c>
      <c r="E737" s="3"/>
      <c r="F737" s="3"/>
      <c r="G737" s="54"/>
      <c r="H737" s="62">
        <v>0</v>
      </c>
      <c r="I737" s="3">
        <f t="shared" si="198"/>
        <v>0</v>
      </c>
      <c r="J737" s="18">
        <f t="shared" si="199"/>
        <v>0</v>
      </c>
    </row>
    <row r="738" spans="2:10" x14ac:dyDescent="0.35">
      <c r="B738" s="33" t="s">
        <v>2546</v>
      </c>
      <c r="C738" s="5"/>
      <c r="D738" s="5"/>
      <c r="E738" s="10">
        <f>SUM(E703:E737)</f>
        <v>0</v>
      </c>
      <c r="F738" s="10">
        <f t="shared" ref="F738:J738" si="201">SUM(F703:F737)</f>
        <v>0</v>
      </c>
      <c r="G738" s="59">
        <f t="shared" si="201"/>
        <v>0</v>
      </c>
      <c r="H738" s="63">
        <f t="shared" si="201"/>
        <v>483000</v>
      </c>
      <c r="I738" s="10">
        <f t="shared" si="201"/>
        <v>509565</v>
      </c>
      <c r="J738" s="22">
        <f t="shared" si="201"/>
        <v>536571.94499999995</v>
      </c>
    </row>
    <row r="739" spans="2:10" s="8" customFormat="1" ht="9.75" customHeight="1" x14ac:dyDescent="0.35">
      <c r="B739" s="23"/>
      <c r="E739" s="39"/>
      <c r="F739" s="39"/>
      <c r="G739" s="39"/>
      <c r="H739" s="68"/>
      <c r="I739" s="39"/>
      <c r="J739" s="40"/>
    </row>
    <row r="740" spans="2:10" ht="15" thickBot="1" x14ac:dyDescent="0.4">
      <c r="B740" s="35" t="s">
        <v>2548</v>
      </c>
      <c r="C740" s="25"/>
      <c r="D740" s="25"/>
      <c r="E740" s="26">
        <f>+E701+E738</f>
        <v>-1764163</v>
      </c>
      <c r="F740" s="26">
        <f t="shared" ref="F740:J740" si="202">+F701+F738</f>
        <v>-977832.13</v>
      </c>
      <c r="G740" s="60">
        <f t="shared" si="202"/>
        <v>-1676283.6514285714</v>
      </c>
      <c r="H740" s="65">
        <f t="shared" si="202"/>
        <v>-2277735.7714285715</v>
      </c>
      <c r="I740" s="26">
        <f t="shared" si="202"/>
        <v>-2403011.2388571426</v>
      </c>
      <c r="J740" s="27">
        <f t="shared" si="202"/>
        <v>-2530370.8345165709</v>
      </c>
    </row>
    <row r="742" spans="2:10" x14ac:dyDescent="0.35">
      <c r="G742" s="2" t="s">
        <v>2543</v>
      </c>
      <c r="H742" s="2">
        <f>+H21+H112+H185+H211+H266+H303+H332+H360+H396+H442+H490+H536+H599+H649+H701</f>
        <v>-74985889.194279432</v>
      </c>
    </row>
    <row r="743" spans="2:10" x14ac:dyDescent="0.35">
      <c r="G743" s="2" t="s">
        <v>2544</v>
      </c>
      <c r="H743" s="2">
        <f>+H71+H168+H199+H252+H293+H321+H350+H384+H428+H480+H519+H582+H636+H687+H738</f>
        <v>59392699.875401147</v>
      </c>
    </row>
    <row r="744" spans="2:10" x14ac:dyDescent="0.35">
      <c r="H744" s="2">
        <f>SUM(H742:H743)</f>
        <v>-15593189.318878286</v>
      </c>
    </row>
  </sheetData>
  <pageMargins left="0.7" right="0.7" top="0.75" bottom="0.75" header="0.3" footer="0.3"/>
  <pageSetup scale="65" orientation="landscape" verticalDpi="360" r:id="rId1"/>
  <headerFoot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1"/>
  <sheetViews>
    <sheetView workbookViewId="0">
      <selection activeCell="B27" sqref="B27:H27"/>
    </sheetView>
  </sheetViews>
  <sheetFormatPr defaultRowHeight="14.5" x14ac:dyDescent="0.35"/>
  <cols>
    <col min="1" max="1" width="20.1796875" customWidth="1"/>
    <col min="2" max="2" width="15" bestFit="1" customWidth="1"/>
    <col min="3" max="3" width="15.453125" customWidth="1"/>
    <col min="4" max="4" width="16" bestFit="1" customWidth="1"/>
    <col min="5" max="5" width="17" customWidth="1"/>
    <col min="6" max="6" width="15.1796875" customWidth="1"/>
    <col min="7" max="7" width="16.1796875" customWidth="1"/>
    <col min="8" max="8" width="17" hidden="1" customWidth="1"/>
    <col min="9" max="9" width="13.81640625" hidden="1" customWidth="1"/>
    <col min="10" max="10" width="16.81640625" hidden="1" customWidth="1"/>
    <col min="11" max="11" width="15" customWidth="1"/>
    <col min="12" max="12" width="16" customWidth="1"/>
    <col min="13" max="13" width="16.453125" customWidth="1"/>
    <col min="15" max="15" width="11.54296875" bestFit="1" customWidth="1"/>
  </cols>
  <sheetData>
    <row r="1" spans="1:15" ht="15" customHeight="1" x14ac:dyDescent="0.35">
      <c r="A1" s="246" t="s">
        <v>2567</v>
      </c>
      <c r="B1" s="251" t="s">
        <v>2798</v>
      </c>
      <c r="C1" s="251" t="s">
        <v>2799</v>
      </c>
      <c r="D1" s="251" t="s">
        <v>2800</v>
      </c>
      <c r="E1" s="248" t="s">
        <v>2608</v>
      </c>
      <c r="F1" s="251" t="s">
        <v>2801</v>
      </c>
      <c r="G1" s="248" t="s">
        <v>2802</v>
      </c>
      <c r="H1" s="248" t="s">
        <v>2574</v>
      </c>
      <c r="I1" s="248" t="s">
        <v>2575</v>
      </c>
      <c r="J1" s="248" t="s">
        <v>2576</v>
      </c>
      <c r="K1" s="254" t="s">
        <v>2794</v>
      </c>
      <c r="L1" s="254" t="s">
        <v>2796</v>
      </c>
      <c r="M1" s="253" t="s">
        <v>2797</v>
      </c>
    </row>
    <row r="2" spans="1:15" ht="43.5" customHeight="1" x14ac:dyDescent="0.35">
      <c r="A2" s="246"/>
      <c r="B2" s="252"/>
      <c r="C2" s="252"/>
      <c r="D2" s="252"/>
      <c r="E2" s="248"/>
      <c r="F2" s="252"/>
      <c r="G2" s="248"/>
      <c r="H2" s="248"/>
      <c r="I2" s="248"/>
      <c r="J2" s="248"/>
      <c r="K2" s="255"/>
      <c r="L2" s="255"/>
      <c r="M2" s="253"/>
    </row>
    <row r="3" spans="1:15" x14ac:dyDescent="0.35">
      <c r="A3" s="70"/>
      <c r="B3" s="48"/>
      <c r="C3" s="48"/>
      <c r="D3" s="48"/>
      <c r="E3" s="47"/>
      <c r="F3" s="47"/>
      <c r="G3" s="47"/>
      <c r="H3" s="47"/>
    </row>
    <row r="4" spans="1:15" x14ac:dyDescent="0.35">
      <c r="A4" s="71" t="s">
        <v>2610</v>
      </c>
      <c r="B4" s="49">
        <f>+Cs!B121</f>
        <v>-2052300</v>
      </c>
      <c r="C4" s="49">
        <f>+Cs!C121</f>
        <v>-2051300</v>
      </c>
      <c r="D4" s="49">
        <f>+Cs!D121</f>
        <v>-2048234</v>
      </c>
      <c r="E4" s="49">
        <f>+Cs!B290</f>
        <v>3646000</v>
      </c>
      <c r="F4" s="49">
        <f>+Cs!C290</f>
        <v>3311000</v>
      </c>
      <c r="G4" s="49">
        <f>+Cs!D290</f>
        <v>3467849.0700000003</v>
      </c>
      <c r="H4" s="49">
        <f t="shared" ref="H4:H16" si="0">+B4+E4</f>
        <v>1593700</v>
      </c>
      <c r="I4" s="49">
        <f t="shared" ref="I4:I16" si="1">+C4+F4</f>
        <v>1259700</v>
      </c>
      <c r="J4" s="49">
        <f t="shared" ref="J4:J16" si="2">+D4+G4</f>
        <v>1419615.0700000003</v>
      </c>
      <c r="K4" s="49">
        <f>+Cs!E121</f>
        <v>-2439400</v>
      </c>
      <c r="L4" s="49">
        <f>+Cs!E290</f>
        <v>4143600</v>
      </c>
      <c r="M4" s="49">
        <f>+K4+L4</f>
        <v>1704200</v>
      </c>
    </row>
    <row r="5" spans="1:15" x14ac:dyDescent="0.35">
      <c r="A5" s="71" t="s">
        <v>2611</v>
      </c>
      <c r="B5" s="49">
        <f>+Fin!B121</f>
        <v>-4741100</v>
      </c>
      <c r="C5" s="49">
        <f>+Fin!C121</f>
        <v>-4667100</v>
      </c>
      <c r="D5" s="49">
        <f>+Fin!D121</f>
        <v>-4128415.44</v>
      </c>
      <c r="E5" s="49">
        <f>+Fin!B290</f>
        <v>14611900</v>
      </c>
      <c r="F5" s="49">
        <f>+Fin!C290</f>
        <v>14254900</v>
      </c>
      <c r="G5" s="49">
        <f>+Fin!D290</f>
        <v>14102733.069999998</v>
      </c>
      <c r="H5" s="49">
        <f t="shared" si="0"/>
        <v>9870800</v>
      </c>
      <c r="I5" s="49">
        <f t="shared" si="1"/>
        <v>9587800</v>
      </c>
      <c r="J5" s="49">
        <f t="shared" si="2"/>
        <v>9974317.629999999</v>
      </c>
      <c r="K5" s="49">
        <f>+Fin!E121</f>
        <v>-4453400</v>
      </c>
      <c r="L5" s="49">
        <f>+Fin!E290</f>
        <v>15320800</v>
      </c>
      <c r="M5" s="49">
        <f t="shared" ref="M5:M17" si="3">+K5+L5</f>
        <v>10867400</v>
      </c>
    </row>
    <row r="6" spans="1:15" x14ac:dyDescent="0.35">
      <c r="A6" s="71" t="s">
        <v>2612</v>
      </c>
      <c r="B6" s="49">
        <f>+Rat!B121</f>
        <v>-9427000</v>
      </c>
      <c r="C6" s="49">
        <f>+Rat!C121</f>
        <v>-9427000</v>
      </c>
      <c r="D6" s="49">
        <f>+Rat!D121</f>
        <v>-9696665.4799999986</v>
      </c>
      <c r="E6" s="49">
        <f>+Rat!B290</f>
        <v>768000</v>
      </c>
      <c r="F6" s="49">
        <f>+Rat!C290</f>
        <v>768000</v>
      </c>
      <c r="G6" s="49">
        <f>+Rat!D290</f>
        <v>825457.94</v>
      </c>
      <c r="H6" s="49">
        <f t="shared" si="0"/>
        <v>-8659000</v>
      </c>
      <c r="I6" s="49">
        <f t="shared" si="1"/>
        <v>-8659000</v>
      </c>
      <c r="J6" s="49">
        <f t="shared" si="2"/>
        <v>-8871207.5399999991</v>
      </c>
      <c r="K6" s="49">
        <f>+Rat!E121</f>
        <v>-10360500</v>
      </c>
      <c r="L6" s="49">
        <f>+Rat!E290</f>
        <v>1258500</v>
      </c>
      <c r="M6" s="49">
        <f t="shared" si="3"/>
        <v>-9102000</v>
      </c>
    </row>
    <row r="7" spans="1:15" x14ac:dyDescent="0.35">
      <c r="A7" s="71" t="s">
        <v>2795</v>
      </c>
      <c r="B7" s="49">
        <f>+MM!B121</f>
        <v>-148500</v>
      </c>
      <c r="C7" s="49">
        <f>+MM!C121</f>
        <v>-62500</v>
      </c>
      <c r="D7" s="49">
        <f>+MM!D121</f>
        <v>-120709</v>
      </c>
      <c r="E7" s="49">
        <f>+MM!B290</f>
        <v>5592900</v>
      </c>
      <c r="F7" s="49">
        <f>+MM!C290</f>
        <v>4992900</v>
      </c>
      <c r="G7" s="49">
        <f>+MM!D290</f>
        <v>4708005.07</v>
      </c>
      <c r="H7" s="49">
        <f t="shared" si="0"/>
        <v>5444400</v>
      </c>
      <c r="I7" s="49">
        <f t="shared" si="1"/>
        <v>4930400</v>
      </c>
      <c r="J7" s="49">
        <f t="shared" si="2"/>
        <v>4587296.07</v>
      </c>
      <c r="K7" s="49">
        <f>+MM!E121</f>
        <v>-138200</v>
      </c>
      <c r="L7" s="49">
        <f>+MM!E290</f>
        <v>5223300</v>
      </c>
      <c r="M7" s="49">
        <f t="shared" si="3"/>
        <v>5085100</v>
      </c>
    </row>
    <row r="8" spans="1:15" x14ac:dyDescent="0.35">
      <c r="A8" s="71" t="s">
        <v>2613</v>
      </c>
      <c r="B8" s="49">
        <f>+Lib!B121</f>
        <v>-1453700</v>
      </c>
      <c r="C8" s="49">
        <f>+Lib!C121</f>
        <v>-1367700</v>
      </c>
      <c r="D8" s="49">
        <f>+Lib!D121</f>
        <v>-1448600</v>
      </c>
      <c r="E8" s="49">
        <f>+Lib!B290</f>
        <v>1445900</v>
      </c>
      <c r="F8" s="49">
        <f>+Lib!C290</f>
        <v>1445900</v>
      </c>
      <c r="G8" s="49">
        <f>+Lib!D290</f>
        <v>1524763.8300000003</v>
      </c>
      <c r="H8" s="49">
        <f t="shared" si="0"/>
        <v>-7800</v>
      </c>
      <c r="I8" s="49">
        <f t="shared" si="1"/>
        <v>78200</v>
      </c>
      <c r="J8" s="49">
        <f t="shared" si="2"/>
        <v>76163.830000000307</v>
      </c>
      <c r="K8" s="49">
        <f>+Lib!E121</f>
        <v>-1612100</v>
      </c>
      <c r="L8" s="49">
        <f>+Lib!E290</f>
        <v>1456700</v>
      </c>
      <c r="M8" s="49">
        <f t="shared" si="3"/>
        <v>-155400</v>
      </c>
    </row>
    <row r="9" spans="1:15" x14ac:dyDescent="0.35">
      <c r="A9" s="71" t="s">
        <v>2614</v>
      </c>
      <c r="B9" s="49">
        <f>+Pry!B121</f>
        <v>-781700</v>
      </c>
      <c r="C9" s="49">
        <f>+Pry!C121</f>
        <v>-251700</v>
      </c>
      <c r="D9" s="49">
        <f>+Pry!D121</f>
        <v>-739583.19</v>
      </c>
      <c r="E9" s="49">
        <f>+Pry!B289</f>
        <v>1473600</v>
      </c>
      <c r="F9" s="49">
        <f>+Pry!C289</f>
        <v>1423600</v>
      </c>
      <c r="G9" s="49">
        <f>+Pry!D289</f>
        <v>1088035.54</v>
      </c>
      <c r="H9" s="49">
        <f t="shared" si="0"/>
        <v>691900</v>
      </c>
      <c r="I9" s="49">
        <f t="shared" si="1"/>
        <v>1171900</v>
      </c>
      <c r="J9" s="49">
        <f t="shared" si="2"/>
        <v>348452.35000000009</v>
      </c>
      <c r="K9" s="49">
        <f>+Pry!E121</f>
        <v>-815600</v>
      </c>
      <c r="L9" s="49">
        <f>+Pry!E289</f>
        <v>1354600</v>
      </c>
      <c r="M9" s="49">
        <f t="shared" si="3"/>
        <v>539000</v>
      </c>
    </row>
    <row r="10" spans="1:15" x14ac:dyDescent="0.35">
      <c r="A10" s="71" t="s">
        <v>2615</v>
      </c>
      <c r="B10" s="49">
        <f>+Hal!B121</f>
        <v>-24400</v>
      </c>
      <c r="C10" s="49">
        <f>+Hal!C121</f>
        <v>-24400</v>
      </c>
      <c r="D10" s="49">
        <f>+Hal!D121</f>
        <v>-22200</v>
      </c>
      <c r="E10" s="49">
        <f>+Hal!B290</f>
        <v>236600</v>
      </c>
      <c r="F10" s="49">
        <f>+Hal!C290</f>
        <v>186600</v>
      </c>
      <c r="G10" s="49">
        <f>+Hal!D290</f>
        <v>247231.08999999997</v>
      </c>
      <c r="H10" s="49">
        <f t="shared" si="0"/>
        <v>212200</v>
      </c>
      <c r="I10" s="49">
        <f t="shared" si="1"/>
        <v>162200</v>
      </c>
      <c r="J10" s="49">
        <f t="shared" si="2"/>
        <v>225031.08999999997</v>
      </c>
      <c r="K10" s="49">
        <f>+Hal!E121</f>
        <v>-24400</v>
      </c>
      <c r="L10" s="49">
        <f>+Hal!E290</f>
        <v>166600</v>
      </c>
      <c r="M10" s="49">
        <f t="shared" si="3"/>
        <v>142200</v>
      </c>
    </row>
    <row r="11" spans="1:15" x14ac:dyDescent="0.35">
      <c r="A11" s="71" t="s">
        <v>2616</v>
      </c>
      <c r="B11" s="49">
        <f>+Cem!B121</f>
        <v>-10100</v>
      </c>
      <c r="C11" s="49">
        <f>+Cem!C121</f>
        <v>-10100</v>
      </c>
      <c r="D11" s="49">
        <f>+Cem!D121</f>
        <v>-5400</v>
      </c>
      <c r="E11" s="49">
        <f>+Cem!B290</f>
        <v>1000</v>
      </c>
      <c r="F11" s="49">
        <f>+Cem!C290</f>
        <v>1000</v>
      </c>
      <c r="G11" s="49">
        <f>+Cem!D290</f>
        <v>0</v>
      </c>
      <c r="H11" s="49">
        <f t="shared" si="0"/>
        <v>-9100</v>
      </c>
      <c r="I11" s="49">
        <f t="shared" si="1"/>
        <v>-9100</v>
      </c>
      <c r="J11" s="49">
        <f t="shared" si="2"/>
        <v>-5400</v>
      </c>
      <c r="K11" s="49">
        <f>+Cem!E121</f>
        <v>-7000</v>
      </c>
      <c r="L11" s="49">
        <f>+Cem!E290</f>
        <v>1000</v>
      </c>
      <c r="M11" s="49">
        <f t="shared" si="3"/>
        <v>-6000</v>
      </c>
    </row>
    <row r="12" spans="1:15" x14ac:dyDescent="0.35">
      <c r="A12" s="71" t="s">
        <v>2617</v>
      </c>
      <c r="B12" s="49">
        <f>+Par!B121</f>
        <v>-1700</v>
      </c>
      <c r="C12" s="49">
        <f>+Par!C121</f>
        <v>-1700</v>
      </c>
      <c r="D12" s="49">
        <f>+Par!D121</f>
        <v>-1600</v>
      </c>
      <c r="E12" s="49">
        <f>+Par!B290</f>
        <v>684300</v>
      </c>
      <c r="F12" s="49">
        <f>+Par!C290</f>
        <v>634300</v>
      </c>
      <c r="G12" s="49">
        <f>+Par!D290</f>
        <v>681655.16</v>
      </c>
      <c r="H12" s="49">
        <f t="shared" si="0"/>
        <v>682600</v>
      </c>
      <c r="I12" s="49">
        <f t="shared" si="1"/>
        <v>632600</v>
      </c>
      <c r="J12" s="49">
        <f t="shared" si="2"/>
        <v>680055.16</v>
      </c>
      <c r="K12" s="49">
        <f>+Par!E121</f>
        <v>-1700</v>
      </c>
      <c r="L12" s="49">
        <f>+Par!E290</f>
        <v>705900</v>
      </c>
      <c r="M12" s="49">
        <f t="shared" si="3"/>
        <v>704200</v>
      </c>
    </row>
    <row r="13" spans="1:15" x14ac:dyDescent="0.35">
      <c r="A13" s="71" t="s">
        <v>2618</v>
      </c>
      <c r="B13" s="49">
        <f>+Str!B121</f>
        <v>0</v>
      </c>
      <c r="C13" s="49">
        <f>+Str!C121</f>
        <v>0</v>
      </c>
      <c r="D13" s="49">
        <f>+Str!D121</f>
        <v>0</v>
      </c>
      <c r="E13" s="49">
        <f>+Str!B290</f>
        <v>4630500</v>
      </c>
      <c r="F13" s="49">
        <f>+Str!C290</f>
        <v>4580500</v>
      </c>
      <c r="G13" s="49">
        <f>+Str!D290</f>
        <v>5924552.2899999991</v>
      </c>
      <c r="H13" s="49">
        <f t="shared" si="0"/>
        <v>4630500</v>
      </c>
      <c r="I13" s="49">
        <f t="shared" si="1"/>
        <v>4580500</v>
      </c>
      <c r="J13" s="49">
        <f t="shared" si="2"/>
        <v>5924552.2899999991</v>
      </c>
      <c r="K13" s="49">
        <f>+Str!E121</f>
        <v>-8325100</v>
      </c>
      <c r="L13" s="49">
        <f>+Str!E290</f>
        <v>14635000</v>
      </c>
      <c r="M13" s="49">
        <f t="shared" si="3"/>
        <v>6309900</v>
      </c>
    </row>
    <row r="14" spans="1:15" x14ac:dyDescent="0.35">
      <c r="A14" s="71" t="s">
        <v>2619</v>
      </c>
      <c r="B14" s="49">
        <f>+Ele!B121</f>
        <v>-20535400</v>
      </c>
      <c r="C14" s="49">
        <f>+Ele!C121</f>
        <v>-16290400</v>
      </c>
      <c r="D14" s="49">
        <f>+Ele!D121</f>
        <v>-16011510.789999999</v>
      </c>
      <c r="E14" s="49">
        <f>+Ele!B290</f>
        <v>18875100</v>
      </c>
      <c r="F14" s="49">
        <f>+Ele!C290</f>
        <v>13179100</v>
      </c>
      <c r="G14" s="49">
        <f>+Ele!D290</f>
        <v>15931345.019999998</v>
      </c>
      <c r="H14" s="49">
        <f t="shared" si="0"/>
        <v>-1660300</v>
      </c>
      <c r="I14" s="49">
        <f t="shared" si="1"/>
        <v>-3111300</v>
      </c>
      <c r="J14" s="49">
        <f t="shared" si="2"/>
        <v>-80165.770000001416</v>
      </c>
      <c r="K14" s="49">
        <f>+Ele!E121</f>
        <v>-17112800</v>
      </c>
      <c r="L14" s="49">
        <f>+Ele!E290</f>
        <v>15524600</v>
      </c>
      <c r="M14" s="49">
        <f t="shared" si="3"/>
        <v>-1588200</v>
      </c>
      <c r="O14" s="2"/>
    </row>
    <row r="15" spans="1:15" x14ac:dyDescent="0.35">
      <c r="A15" s="71" t="s">
        <v>2620</v>
      </c>
      <c r="B15" s="49">
        <f>+Wat!B121</f>
        <v>-36691200</v>
      </c>
      <c r="C15" s="49">
        <f>+Wat!C121</f>
        <v>-16531200</v>
      </c>
      <c r="D15" s="49">
        <f>+Wat!D121</f>
        <v>-16427475.630000003</v>
      </c>
      <c r="E15" s="49">
        <f>+Wat!B290</f>
        <v>39178100</v>
      </c>
      <c r="F15" s="49">
        <f>+Wat!C290</f>
        <v>18955100</v>
      </c>
      <c r="G15" s="49">
        <f>+Wat!D290</f>
        <v>14361284.66</v>
      </c>
      <c r="H15" s="49">
        <f t="shared" si="0"/>
        <v>2486900</v>
      </c>
      <c r="I15" s="49">
        <f t="shared" si="1"/>
        <v>2423900</v>
      </c>
      <c r="J15" s="49">
        <f t="shared" si="2"/>
        <v>-2066190.9700000025</v>
      </c>
      <c r="K15" s="49">
        <f>+Wat!E121</f>
        <v>-9639400</v>
      </c>
      <c r="L15" s="49">
        <f>+Wat!E290</f>
        <v>7261200</v>
      </c>
      <c r="M15" s="49">
        <f t="shared" si="3"/>
        <v>-2378200</v>
      </c>
    </row>
    <row r="16" spans="1:15" x14ac:dyDescent="0.35">
      <c r="A16" s="71" t="s">
        <v>2621</v>
      </c>
      <c r="B16" s="49">
        <f>+San!B121</f>
        <v>-9453600</v>
      </c>
      <c r="C16" s="49">
        <f>+San!C121</f>
        <v>-9303600</v>
      </c>
      <c r="D16" s="49">
        <f>+San!D121</f>
        <v>-9428734.7599999998</v>
      </c>
      <c r="E16" s="49">
        <f>+San!B290</f>
        <v>3312200</v>
      </c>
      <c r="F16" s="49">
        <f>+San!C290</f>
        <v>3312200</v>
      </c>
      <c r="G16" s="49">
        <f>+San!D290</f>
        <v>4635159.6100000013</v>
      </c>
      <c r="H16" s="49">
        <f t="shared" si="0"/>
        <v>-6141400</v>
      </c>
      <c r="I16" s="49">
        <f t="shared" si="1"/>
        <v>-5991400</v>
      </c>
      <c r="J16" s="49">
        <f t="shared" si="2"/>
        <v>-4793575.1499999985</v>
      </c>
      <c r="K16" s="49">
        <f>+San!E121</f>
        <v>-8826700</v>
      </c>
      <c r="L16" s="49">
        <f>+San!E290</f>
        <v>4681200</v>
      </c>
      <c r="M16" s="49">
        <f t="shared" si="3"/>
        <v>-4145500</v>
      </c>
    </row>
    <row r="17" spans="1:13" x14ac:dyDescent="0.35">
      <c r="A17" s="71" t="s">
        <v>2622</v>
      </c>
      <c r="B17" s="49">
        <f>+Ref!B121</f>
        <v>-8854300</v>
      </c>
      <c r="C17" s="49">
        <f>+Ref!C121</f>
        <v>-8654300</v>
      </c>
      <c r="D17" s="49">
        <f>+Ref!D121</f>
        <v>-8302064.3200000003</v>
      </c>
      <c r="E17" s="49">
        <f>+Ref!B290</f>
        <v>2438900</v>
      </c>
      <c r="F17" s="49">
        <f>+Ref!C290</f>
        <v>2438900</v>
      </c>
      <c r="G17" s="49">
        <f>+Ref!D290</f>
        <v>2412186.2599999998</v>
      </c>
      <c r="H17" s="49">
        <f t="shared" ref="H17" si="4">+B17+E17</f>
        <v>-6415400</v>
      </c>
      <c r="I17" s="49">
        <f>+C17+F17</f>
        <v>-6215400</v>
      </c>
      <c r="J17" s="49">
        <f>+D17+G17</f>
        <v>-5889878.0600000005</v>
      </c>
      <c r="K17" s="49">
        <f>+Ref!E121</f>
        <v>-7604800</v>
      </c>
      <c r="L17" s="49">
        <f>+Ref!E290</f>
        <v>2662200</v>
      </c>
      <c r="M17" s="49">
        <f t="shared" si="3"/>
        <v>-4942600</v>
      </c>
    </row>
    <row r="18" spans="1:13" x14ac:dyDescent="0.35">
      <c r="A18" s="47"/>
      <c r="B18" s="48"/>
      <c r="C18" s="48"/>
      <c r="D18" s="48"/>
      <c r="E18" s="47"/>
      <c r="F18" s="47"/>
      <c r="G18" s="47"/>
      <c r="H18" s="47"/>
      <c r="L18" s="47"/>
    </row>
    <row r="19" spans="1:13" ht="15" thickBot="1" x14ac:dyDescent="0.4">
      <c r="A19" s="47"/>
      <c r="B19" s="50">
        <f>SUM(B4:B17)</f>
        <v>-94175000</v>
      </c>
      <c r="C19" s="50">
        <f t="shared" ref="C19:J19" si="5">SUM(C4:C17)</f>
        <v>-68643000</v>
      </c>
      <c r="D19" s="50">
        <f t="shared" si="5"/>
        <v>-68381192.609999999</v>
      </c>
      <c r="E19" s="50">
        <f t="shared" si="5"/>
        <v>96895000</v>
      </c>
      <c r="F19" s="50">
        <f t="shared" si="5"/>
        <v>69484000</v>
      </c>
      <c r="G19" s="50">
        <f t="shared" si="5"/>
        <v>69910258.609999999</v>
      </c>
      <c r="H19" s="50">
        <f t="shared" si="5"/>
        <v>2720000</v>
      </c>
      <c r="I19" s="50">
        <f t="shared" si="5"/>
        <v>841000</v>
      </c>
      <c r="J19" s="50">
        <f t="shared" si="5"/>
        <v>1529065.9999999963</v>
      </c>
      <c r="K19" s="50">
        <f>SUM(K4:K18)</f>
        <v>-71361100</v>
      </c>
      <c r="L19" s="50">
        <f>SUM(L4:L18)</f>
        <v>74395200</v>
      </c>
      <c r="M19" s="50">
        <f>SUM(M4:M18)</f>
        <v>3034100</v>
      </c>
    </row>
    <row r="20" spans="1:13" ht="15" thickTop="1" x14ac:dyDescent="0.35"/>
    <row r="21" spans="1:13" x14ac:dyDescent="0.35">
      <c r="A21" s="86" t="s">
        <v>2675</v>
      </c>
      <c r="B21" s="92">
        <f>+'Tot KPA'!B121</f>
        <v>-94175000</v>
      </c>
      <c r="C21" s="92">
        <f>+'Tot KPA'!C121</f>
        <v>-68643000</v>
      </c>
      <c r="D21" s="92">
        <f>+'Tot KPA'!D121</f>
        <v>-68381192.609999999</v>
      </c>
      <c r="E21" s="92">
        <f>+'Tot KPA'!B283</f>
        <v>0</v>
      </c>
      <c r="F21" s="92">
        <f>+'Tot KPA'!C283</f>
        <v>0</v>
      </c>
      <c r="G21" s="92">
        <f>+'Tot KPA'!D283</f>
        <v>0</v>
      </c>
      <c r="H21" s="73"/>
      <c r="I21" s="73"/>
      <c r="J21" s="73"/>
      <c r="K21" s="92">
        <f>+'Tot KPA'!E121</f>
        <v>-71361100</v>
      </c>
      <c r="L21" s="92">
        <f>+'Tot KPA'!E283</f>
        <v>0</v>
      </c>
      <c r="M21" s="92">
        <f>+'Tot KPA'!E285</f>
        <v>312000</v>
      </c>
    </row>
  </sheetData>
  <mergeCells count="13">
    <mergeCell ref="M1:M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scale="75" orientation="landscape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6"/>
  <sheetViews>
    <sheetView workbookViewId="0">
      <selection activeCell="F1004" sqref="F1004:G1004"/>
    </sheetView>
  </sheetViews>
  <sheetFormatPr defaultRowHeight="14.5" x14ac:dyDescent="0.35"/>
  <cols>
    <col min="3" max="3" width="38.453125" customWidth="1"/>
    <col min="4" max="4" width="18.1796875" customWidth="1"/>
    <col min="6" max="6" width="14" customWidth="1"/>
    <col min="7" max="7" width="17.81640625" customWidth="1"/>
    <col min="8" max="8" width="13.453125" customWidth="1"/>
    <col min="9" max="9" width="15.54296875" customWidth="1"/>
  </cols>
  <sheetData>
    <row r="1" spans="1:9" x14ac:dyDescent="0.35">
      <c r="A1" t="s">
        <v>0</v>
      </c>
      <c r="B1" t="s">
        <v>861</v>
      </c>
      <c r="C1" t="s">
        <v>124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</row>
    <row r="2" spans="1:9" x14ac:dyDescent="0.35">
      <c r="A2" t="s">
        <v>0</v>
      </c>
      <c r="B2" t="s">
        <v>862</v>
      </c>
      <c r="C2" t="s">
        <v>863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35">
      <c r="A3" t="s">
        <v>0</v>
      </c>
      <c r="B3" t="s">
        <v>864</v>
      </c>
      <c r="C3" t="s">
        <v>863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35">
      <c r="A4" t="s">
        <v>0</v>
      </c>
      <c r="B4" t="s">
        <v>865</v>
      </c>
      <c r="C4" t="s">
        <v>863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0</v>
      </c>
      <c r="B5" t="s">
        <v>866</v>
      </c>
      <c r="C5" t="s">
        <v>863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5">
      <c r="A6" t="s">
        <v>0</v>
      </c>
      <c r="B6" t="s">
        <v>867</v>
      </c>
      <c r="C6" t="s">
        <v>863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5">
      <c r="A7" t="s">
        <v>0</v>
      </c>
      <c r="B7" t="s">
        <v>868</v>
      </c>
      <c r="C7" t="s">
        <v>863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5">
      <c r="A8" t="s">
        <v>0</v>
      </c>
      <c r="B8" t="s">
        <v>869</v>
      </c>
      <c r="C8" t="s">
        <v>863</v>
      </c>
      <c r="D8">
        <v>0</v>
      </c>
      <c r="E8">
        <v>0</v>
      </c>
      <c r="F8">
        <v>235867.08</v>
      </c>
      <c r="G8">
        <v>-124060.58</v>
      </c>
      <c r="H8">
        <v>111806.5</v>
      </c>
      <c r="I8">
        <v>0</v>
      </c>
    </row>
    <row r="9" spans="1:9" x14ac:dyDescent="0.35">
      <c r="A9" t="s">
        <v>0</v>
      </c>
      <c r="B9" t="s">
        <v>870</v>
      </c>
      <c r="C9" t="s">
        <v>863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5">
      <c r="A10" t="s">
        <v>0</v>
      </c>
      <c r="B10" t="s">
        <v>871</v>
      </c>
      <c r="C10" t="s">
        <v>863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0</v>
      </c>
      <c r="B11" t="s">
        <v>872</v>
      </c>
      <c r="C11" t="s">
        <v>873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0</v>
      </c>
      <c r="B12" t="s">
        <v>874</v>
      </c>
      <c r="C12" t="s">
        <v>875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5">
      <c r="A13" t="s">
        <v>0</v>
      </c>
      <c r="B13" t="s">
        <v>876</v>
      </c>
      <c r="C13" t="s">
        <v>877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35">
      <c r="A14" t="s">
        <v>0</v>
      </c>
      <c r="B14" t="s">
        <v>878</v>
      </c>
      <c r="C14" t="s">
        <v>879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5">
      <c r="A15" t="s">
        <v>0</v>
      </c>
      <c r="B15" t="s">
        <v>880</v>
      </c>
      <c r="C15" t="s">
        <v>881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0</v>
      </c>
      <c r="B16" t="s">
        <v>882</v>
      </c>
      <c r="C16" t="s">
        <v>883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5">
      <c r="A17" t="s">
        <v>0</v>
      </c>
      <c r="B17" t="s">
        <v>884</v>
      </c>
      <c r="C17" t="s">
        <v>885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35">
      <c r="A18" t="s">
        <v>0</v>
      </c>
      <c r="B18" t="s">
        <v>886</v>
      </c>
      <c r="C18" t="s">
        <v>887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35">
      <c r="A19" t="s">
        <v>0</v>
      </c>
      <c r="B19" t="s">
        <v>888</v>
      </c>
      <c r="C19" t="s">
        <v>889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35">
      <c r="A20" t="s">
        <v>0</v>
      </c>
      <c r="B20" t="s">
        <v>890</v>
      </c>
      <c r="C20" t="s">
        <v>891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0</v>
      </c>
      <c r="B21" t="s">
        <v>892</v>
      </c>
      <c r="C21" t="s">
        <v>893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5">
      <c r="A22" t="s">
        <v>0</v>
      </c>
      <c r="B22" t="s">
        <v>894</v>
      </c>
      <c r="C22" t="s">
        <v>895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5">
      <c r="A23" t="s">
        <v>0</v>
      </c>
      <c r="B23" t="s">
        <v>896</v>
      </c>
      <c r="C23" t="s">
        <v>897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0</v>
      </c>
      <c r="B24" t="s">
        <v>898</v>
      </c>
      <c r="C24" t="s">
        <v>899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5">
      <c r="A25" t="s">
        <v>0</v>
      </c>
      <c r="B25" t="s">
        <v>900</v>
      </c>
      <c r="C25" t="s">
        <v>901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5">
      <c r="A26" t="s">
        <v>0</v>
      </c>
      <c r="B26" t="s">
        <v>902</v>
      </c>
      <c r="C26" t="s">
        <v>903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35">
      <c r="A27" t="s">
        <v>0</v>
      </c>
      <c r="B27" t="s">
        <v>904</v>
      </c>
      <c r="C27" t="s">
        <v>903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5">
      <c r="A28" t="s">
        <v>0</v>
      </c>
      <c r="B28" t="s">
        <v>905</v>
      </c>
      <c r="C28" t="s">
        <v>903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0</v>
      </c>
      <c r="B29" t="s">
        <v>906</v>
      </c>
      <c r="C29" t="s">
        <v>903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5">
      <c r="A30" t="s">
        <v>0</v>
      </c>
      <c r="B30" t="s">
        <v>907</v>
      </c>
      <c r="C30" t="s">
        <v>903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35">
      <c r="A31" t="s">
        <v>0</v>
      </c>
      <c r="B31" t="s">
        <v>908</v>
      </c>
      <c r="C31" t="s">
        <v>909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5">
      <c r="A32" t="s">
        <v>0</v>
      </c>
      <c r="B32" t="s">
        <v>910</v>
      </c>
      <c r="C32" t="s">
        <v>911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5">
      <c r="A33" t="s">
        <v>0</v>
      </c>
      <c r="B33" t="s">
        <v>912</v>
      </c>
      <c r="C33" t="s">
        <v>913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5">
      <c r="A34" t="s">
        <v>0</v>
      </c>
      <c r="B34" t="s">
        <v>914</v>
      </c>
      <c r="C34" t="s">
        <v>915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0</v>
      </c>
      <c r="B35" t="s">
        <v>916</v>
      </c>
      <c r="C35" t="s">
        <v>915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5">
      <c r="A36" t="s">
        <v>0</v>
      </c>
      <c r="B36" t="s">
        <v>917</v>
      </c>
      <c r="C36" t="s">
        <v>918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0</v>
      </c>
      <c r="B37" t="s">
        <v>919</v>
      </c>
      <c r="C37" t="s">
        <v>920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5">
      <c r="A38" t="s">
        <v>0</v>
      </c>
      <c r="B38" t="s">
        <v>921</v>
      </c>
      <c r="C38" t="s">
        <v>922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5">
      <c r="A39" t="s">
        <v>0</v>
      </c>
      <c r="B39" t="s">
        <v>923</v>
      </c>
      <c r="C39" t="s">
        <v>924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0</v>
      </c>
      <c r="B40" t="s">
        <v>925</v>
      </c>
      <c r="C40" t="s">
        <v>926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35">
      <c r="A41" t="s">
        <v>0</v>
      </c>
      <c r="B41" t="s">
        <v>927</v>
      </c>
      <c r="C41" t="s">
        <v>928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35">
      <c r="A42" t="s">
        <v>0</v>
      </c>
      <c r="B42" t="s">
        <v>929</v>
      </c>
      <c r="C42" t="s">
        <v>928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0</v>
      </c>
      <c r="B43" t="s">
        <v>930</v>
      </c>
      <c r="C43" t="s">
        <v>928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5">
      <c r="A44" t="s">
        <v>0</v>
      </c>
      <c r="B44" t="s">
        <v>931</v>
      </c>
      <c r="C44" t="s">
        <v>928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35">
      <c r="A45" t="s">
        <v>0</v>
      </c>
      <c r="B45" t="s">
        <v>932</v>
      </c>
      <c r="C45" t="s">
        <v>928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35">
      <c r="A46" t="s">
        <v>0</v>
      </c>
      <c r="B46" t="s">
        <v>933</v>
      </c>
      <c r="C46" t="s">
        <v>934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35">
      <c r="A47" t="s">
        <v>0</v>
      </c>
      <c r="B47" t="s">
        <v>935</v>
      </c>
      <c r="C47" t="s">
        <v>936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35">
      <c r="A48" t="s">
        <v>0</v>
      </c>
      <c r="B48" t="s">
        <v>937</v>
      </c>
      <c r="C48" t="s">
        <v>938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35">
      <c r="A49" t="s">
        <v>0</v>
      </c>
      <c r="B49" t="s">
        <v>939</v>
      </c>
      <c r="C49" t="s">
        <v>940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35">
      <c r="A50" t="s">
        <v>0</v>
      </c>
      <c r="B50" t="s">
        <v>941</v>
      </c>
      <c r="C50" t="s">
        <v>942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35">
      <c r="A51" t="s">
        <v>0</v>
      </c>
      <c r="B51" t="s">
        <v>943</v>
      </c>
      <c r="C51" t="s">
        <v>944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35">
      <c r="A52" t="s">
        <v>0</v>
      </c>
      <c r="B52" t="s">
        <v>945</v>
      </c>
      <c r="C52" t="s">
        <v>946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35">
      <c r="A53" t="s">
        <v>0</v>
      </c>
      <c r="B53" t="s">
        <v>947</v>
      </c>
      <c r="C53" t="s">
        <v>948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35">
      <c r="A54" t="s">
        <v>0</v>
      </c>
      <c r="B54" t="s">
        <v>949</v>
      </c>
      <c r="C54" t="s">
        <v>950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35">
      <c r="A55" t="s">
        <v>0</v>
      </c>
      <c r="B55" t="s">
        <v>951</v>
      </c>
      <c r="C55" t="s">
        <v>950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35">
      <c r="A56" t="s">
        <v>0</v>
      </c>
      <c r="B56" t="s">
        <v>952</v>
      </c>
      <c r="C56" t="s">
        <v>953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35">
      <c r="A57" t="s">
        <v>0</v>
      </c>
      <c r="B57" t="s">
        <v>954</v>
      </c>
      <c r="C57" t="s">
        <v>955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35">
      <c r="A58" t="s">
        <v>0</v>
      </c>
      <c r="B58" t="s">
        <v>956</v>
      </c>
      <c r="C58" t="s">
        <v>957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35">
      <c r="A59" t="s">
        <v>0</v>
      </c>
      <c r="B59" t="s">
        <v>958</v>
      </c>
      <c r="C59" t="s">
        <v>959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35">
      <c r="A60" t="s">
        <v>0</v>
      </c>
      <c r="B60" t="s">
        <v>960</v>
      </c>
      <c r="C60" t="s">
        <v>959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35">
      <c r="A61" t="s">
        <v>0</v>
      </c>
      <c r="B61" t="s">
        <v>961</v>
      </c>
      <c r="C61" t="s">
        <v>962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35">
      <c r="A62" t="s">
        <v>0</v>
      </c>
      <c r="B62" t="s">
        <v>963</v>
      </c>
      <c r="C62" t="s">
        <v>962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35">
      <c r="A63" t="s">
        <v>0</v>
      </c>
      <c r="B63" t="s">
        <v>964</v>
      </c>
      <c r="C63" t="s">
        <v>962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35">
      <c r="A64" t="s">
        <v>0</v>
      </c>
      <c r="B64" t="s">
        <v>965</v>
      </c>
      <c r="C64" t="s">
        <v>962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35">
      <c r="A65" t="s">
        <v>0</v>
      </c>
      <c r="B65" t="s">
        <v>966</v>
      </c>
      <c r="C65" t="s">
        <v>962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35">
      <c r="A66" t="s">
        <v>0</v>
      </c>
      <c r="B66" t="s">
        <v>967</v>
      </c>
      <c r="C66" t="s">
        <v>968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35">
      <c r="A67" t="s">
        <v>0</v>
      </c>
      <c r="B67" t="s">
        <v>969</v>
      </c>
      <c r="C67" t="s">
        <v>970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35">
      <c r="A68" t="s">
        <v>0</v>
      </c>
      <c r="B68" t="s">
        <v>971</v>
      </c>
      <c r="C68" t="s">
        <v>972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35">
      <c r="A69" t="s">
        <v>0</v>
      </c>
      <c r="B69" t="s">
        <v>973</v>
      </c>
      <c r="C69" t="s">
        <v>974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35">
      <c r="A70" t="s">
        <v>0</v>
      </c>
      <c r="B70" t="s">
        <v>975</v>
      </c>
      <c r="C70" t="s">
        <v>976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35">
      <c r="A71" t="s">
        <v>0</v>
      </c>
      <c r="B71" t="s">
        <v>977</v>
      </c>
      <c r="C71" t="s">
        <v>976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35">
      <c r="A72" t="s">
        <v>0</v>
      </c>
      <c r="B72" t="s">
        <v>978</v>
      </c>
      <c r="C72" t="s">
        <v>979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35">
      <c r="A73" t="s">
        <v>0</v>
      </c>
      <c r="B73" t="s">
        <v>980</v>
      </c>
      <c r="C73" t="s">
        <v>981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35">
      <c r="A74" t="s">
        <v>0</v>
      </c>
      <c r="B74" t="s">
        <v>982</v>
      </c>
      <c r="C74" t="s">
        <v>983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35">
      <c r="A75" t="s">
        <v>0</v>
      </c>
      <c r="B75" t="s">
        <v>984</v>
      </c>
      <c r="C75" t="s">
        <v>985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35">
      <c r="A76" t="s">
        <v>0</v>
      </c>
      <c r="B76" t="s">
        <v>986</v>
      </c>
      <c r="C76" t="s">
        <v>987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35">
      <c r="A77" t="s">
        <v>0</v>
      </c>
      <c r="B77" t="s">
        <v>988</v>
      </c>
      <c r="C77" t="s">
        <v>987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35">
      <c r="A78" t="s">
        <v>0</v>
      </c>
      <c r="B78" t="s">
        <v>989</v>
      </c>
      <c r="C78" t="s">
        <v>990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35">
      <c r="A79" t="s">
        <v>0</v>
      </c>
      <c r="B79" t="s">
        <v>991</v>
      </c>
      <c r="C79" t="s">
        <v>992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35">
      <c r="A80" t="s">
        <v>0</v>
      </c>
      <c r="B80" t="s">
        <v>993</v>
      </c>
      <c r="C80" t="s">
        <v>994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35">
      <c r="A81" t="s">
        <v>0</v>
      </c>
      <c r="B81" t="s">
        <v>995</v>
      </c>
      <c r="C81" t="s">
        <v>996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35">
      <c r="A82" t="s">
        <v>0</v>
      </c>
      <c r="B82" t="s">
        <v>997</v>
      </c>
      <c r="C82" t="s">
        <v>998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 x14ac:dyDescent="0.35">
      <c r="A83" t="s">
        <v>0</v>
      </c>
      <c r="B83" t="s">
        <v>999</v>
      </c>
      <c r="C83" t="s">
        <v>1000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35">
      <c r="A84" t="s">
        <v>0</v>
      </c>
      <c r="B84" t="s">
        <v>1001</v>
      </c>
      <c r="C84" t="s">
        <v>996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35">
      <c r="A85" t="s">
        <v>0</v>
      </c>
      <c r="B85" t="s">
        <v>1002</v>
      </c>
      <c r="C85" t="s">
        <v>1003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35">
      <c r="A86" t="s">
        <v>0</v>
      </c>
      <c r="B86" t="s">
        <v>1004</v>
      </c>
      <c r="C86" t="s">
        <v>1005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35">
      <c r="A87" t="s">
        <v>0</v>
      </c>
      <c r="B87" t="s">
        <v>1006</v>
      </c>
      <c r="C87" t="s">
        <v>1007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35">
      <c r="A88" t="s">
        <v>0</v>
      </c>
      <c r="B88" t="s">
        <v>1008</v>
      </c>
      <c r="C88" t="s">
        <v>1009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35">
      <c r="A89" t="s">
        <v>0</v>
      </c>
      <c r="B89" t="s">
        <v>1010</v>
      </c>
      <c r="C89" t="s">
        <v>1011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1:9" x14ac:dyDescent="0.35">
      <c r="A90" t="s">
        <v>0</v>
      </c>
      <c r="B90" t="s">
        <v>1012</v>
      </c>
      <c r="C90" t="s">
        <v>1013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35">
      <c r="A91" t="s">
        <v>0</v>
      </c>
      <c r="B91" t="s">
        <v>1014</v>
      </c>
      <c r="C91" t="s">
        <v>1013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  <row r="92" spans="1:9" x14ac:dyDescent="0.35">
      <c r="A92" t="s">
        <v>0</v>
      </c>
      <c r="B92" t="s">
        <v>1015</v>
      </c>
      <c r="C92" t="s">
        <v>1016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35">
      <c r="A93" t="s">
        <v>0</v>
      </c>
      <c r="B93" t="s">
        <v>1017</v>
      </c>
      <c r="C93" t="s">
        <v>1018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</row>
    <row r="94" spans="1:9" x14ac:dyDescent="0.35">
      <c r="A94" t="s">
        <v>0</v>
      </c>
      <c r="B94" t="s">
        <v>1019</v>
      </c>
      <c r="C94" t="s">
        <v>1018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35">
      <c r="A95" t="s">
        <v>0</v>
      </c>
      <c r="B95" t="s">
        <v>1020</v>
      </c>
      <c r="C95" t="s">
        <v>1018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35">
      <c r="A96" t="s">
        <v>0</v>
      </c>
      <c r="B96" t="s">
        <v>1021</v>
      </c>
      <c r="C96" t="s">
        <v>1018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 x14ac:dyDescent="0.35">
      <c r="A97" t="s">
        <v>0</v>
      </c>
      <c r="B97" t="s">
        <v>1022</v>
      </c>
      <c r="C97" t="s">
        <v>1018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 x14ac:dyDescent="0.35">
      <c r="A98" t="s">
        <v>0</v>
      </c>
      <c r="B98" t="s">
        <v>1023</v>
      </c>
      <c r="C98" t="s">
        <v>1018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35">
      <c r="A99" t="s">
        <v>0</v>
      </c>
      <c r="B99" t="s">
        <v>1024</v>
      </c>
      <c r="C99" t="s">
        <v>1018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</row>
    <row r="100" spans="1:9" x14ac:dyDescent="0.35">
      <c r="A100" t="s">
        <v>0</v>
      </c>
      <c r="B100" t="s">
        <v>1025</v>
      </c>
      <c r="C100" t="s">
        <v>1026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35">
      <c r="A101" t="s">
        <v>0</v>
      </c>
      <c r="B101" t="s">
        <v>1027</v>
      </c>
      <c r="C101" t="s">
        <v>1028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35">
      <c r="A102" t="s">
        <v>0</v>
      </c>
      <c r="B102" t="s">
        <v>1029</v>
      </c>
      <c r="C102" t="s">
        <v>1030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1:9" x14ac:dyDescent="0.35">
      <c r="A103" t="s">
        <v>0</v>
      </c>
      <c r="B103" t="s">
        <v>1031</v>
      </c>
      <c r="C103" t="s">
        <v>1032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 x14ac:dyDescent="0.35">
      <c r="A104" t="s">
        <v>0</v>
      </c>
      <c r="B104" t="s">
        <v>1033</v>
      </c>
      <c r="C104" t="s">
        <v>1032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35">
      <c r="A105" t="s">
        <v>0</v>
      </c>
      <c r="B105" t="s">
        <v>1034</v>
      </c>
      <c r="C105" t="s">
        <v>1035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35">
      <c r="A106" t="s">
        <v>0</v>
      </c>
      <c r="B106" t="s">
        <v>1036</v>
      </c>
      <c r="C106" t="s">
        <v>1035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 x14ac:dyDescent="0.35">
      <c r="A107" t="s">
        <v>0</v>
      </c>
      <c r="B107" t="s">
        <v>1037</v>
      </c>
      <c r="C107" t="s">
        <v>1035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 x14ac:dyDescent="0.35">
      <c r="A108" t="s">
        <v>0</v>
      </c>
      <c r="B108" t="s">
        <v>1038</v>
      </c>
      <c r="C108" t="s">
        <v>1035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35">
      <c r="A109" t="s">
        <v>0</v>
      </c>
      <c r="B109" t="s">
        <v>1039</v>
      </c>
      <c r="C109" t="s">
        <v>1035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 x14ac:dyDescent="0.35">
      <c r="A110" t="s">
        <v>0</v>
      </c>
      <c r="B110" t="s">
        <v>1040</v>
      </c>
      <c r="C110" t="s">
        <v>1041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35">
      <c r="A111" t="s">
        <v>0</v>
      </c>
      <c r="B111" t="s">
        <v>1042</v>
      </c>
      <c r="C111" t="s">
        <v>1041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35">
      <c r="A112" t="s">
        <v>0</v>
      </c>
      <c r="B112" t="s">
        <v>1043</v>
      </c>
      <c r="C112" t="s">
        <v>1041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35">
      <c r="A113" t="s">
        <v>0</v>
      </c>
      <c r="B113" t="s">
        <v>1044</v>
      </c>
      <c r="C113" t="s">
        <v>1041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35">
      <c r="A114" t="s">
        <v>0</v>
      </c>
      <c r="B114" t="s">
        <v>1045</v>
      </c>
      <c r="C114" t="s">
        <v>1041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35">
      <c r="A115" t="s">
        <v>0</v>
      </c>
      <c r="B115" t="s">
        <v>1046</v>
      </c>
      <c r="C115" t="s">
        <v>1047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35">
      <c r="A116" t="s">
        <v>0</v>
      </c>
      <c r="B116" t="s">
        <v>1048</v>
      </c>
      <c r="C116" t="s">
        <v>1049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35">
      <c r="A117" t="s">
        <v>0</v>
      </c>
      <c r="B117" t="s">
        <v>1050</v>
      </c>
      <c r="C117" t="s">
        <v>1051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35">
      <c r="A118" t="s">
        <v>0</v>
      </c>
      <c r="B118" t="s">
        <v>1052</v>
      </c>
      <c r="C118" t="s">
        <v>1053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35">
      <c r="A119" t="s">
        <v>0</v>
      </c>
      <c r="B119" t="s">
        <v>1054</v>
      </c>
      <c r="C119" t="s">
        <v>1053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9" x14ac:dyDescent="0.35">
      <c r="A120" t="s">
        <v>0</v>
      </c>
      <c r="B120" t="s">
        <v>1055</v>
      </c>
      <c r="C120" t="s">
        <v>1056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</row>
    <row r="121" spans="1:9" x14ac:dyDescent="0.35">
      <c r="A121" t="s">
        <v>0</v>
      </c>
      <c r="B121" t="s">
        <v>1057</v>
      </c>
      <c r="C121" t="s">
        <v>1058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9" x14ac:dyDescent="0.35">
      <c r="A122" t="s">
        <v>0</v>
      </c>
      <c r="B122" t="s">
        <v>1059</v>
      </c>
      <c r="C122" t="s">
        <v>1060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 x14ac:dyDescent="0.35">
      <c r="A123" t="s">
        <v>0</v>
      </c>
      <c r="B123" t="s">
        <v>1061</v>
      </c>
      <c r="C123" t="s">
        <v>1062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</row>
    <row r="124" spans="1:9" x14ac:dyDescent="0.35">
      <c r="A124" t="s">
        <v>0</v>
      </c>
      <c r="B124" t="s">
        <v>1063</v>
      </c>
      <c r="C124" t="s">
        <v>1064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35">
      <c r="A125" t="s">
        <v>0</v>
      </c>
      <c r="B125" t="s">
        <v>1065</v>
      </c>
      <c r="C125" t="s">
        <v>1066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 x14ac:dyDescent="0.35">
      <c r="A126" t="s">
        <v>0</v>
      </c>
      <c r="B126" t="s">
        <v>1067</v>
      </c>
      <c r="C126" t="s">
        <v>1068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35">
      <c r="A127" t="s">
        <v>0</v>
      </c>
      <c r="B127" t="s">
        <v>1069</v>
      </c>
      <c r="C127" t="s">
        <v>1070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35">
      <c r="A128" t="s">
        <v>0</v>
      </c>
      <c r="B128" t="s">
        <v>1071</v>
      </c>
      <c r="C128" t="s">
        <v>1072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 x14ac:dyDescent="0.35">
      <c r="A129" t="s">
        <v>0</v>
      </c>
      <c r="B129" t="s">
        <v>1073</v>
      </c>
      <c r="C129" t="s">
        <v>1074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 x14ac:dyDescent="0.35">
      <c r="A130" t="s">
        <v>0</v>
      </c>
      <c r="B130" t="s">
        <v>1075</v>
      </c>
      <c r="C130" t="s">
        <v>1076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35">
      <c r="A131" t="s">
        <v>0</v>
      </c>
      <c r="B131" t="s">
        <v>1077</v>
      </c>
      <c r="C131" t="s">
        <v>1078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35">
      <c r="A132" t="s">
        <v>0</v>
      </c>
      <c r="B132" t="s">
        <v>1079</v>
      </c>
      <c r="C132" t="s">
        <v>1080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35">
      <c r="A133" t="s">
        <v>0</v>
      </c>
      <c r="B133" t="s">
        <v>1081</v>
      </c>
      <c r="C133" t="s">
        <v>1082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35">
      <c r="A134" t="s">
        <v>0</v>
      </c>
      <c r="B134" t="s">
        <v>1083</v>
      </c>
      <c r="C134" t="s">
        <v>1084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 x14ac:dyDescent="0.35">
      <c r="A135" t="s">
        <v>0</v>
      </c>
      <c r="B135" t="s">
        <v>1085</v>
      </c>
      <c r="C135" t="s">
        <v>1086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</row>
    <row r="136" spans="1:9" x14ac:dyDescent="0.35">
      <c r="A136" t="s">
        <v>0</v>
      </c>
      <c r="B136" t="s">
        <v>1087</v>
      </c>
      <c r="C136" t="s">
        <v>1088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 x14ac:dyDescent="0.35">
      <c r="A137" t="s">
        <v>0</v>
      </c>
      <c r="B137" t="s">
        <v>1089</v>
      </c>
      <c r="C137" t="s">
        <v>1090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35">
      <c r="A138" t="s">
        <v>0</v>
      </c>
      <c r="B138" t="s">
        <v>1091</v>
      </c>
      <c r="C138" t="s">
        <v>1090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35">
      <c r="A139" t="s">
        <v>0</v>
      </c>
      <c r="B139" t="s">
        <v>1092</v>
      </c>
      <c r="C139" t="s">
        <v>1090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35">
      <c r="A140" t="s">
        <v>0</v>
      </c>
      <c r="B140" t="s">
        <v>1093</v>
      </c>
      <c r="C140" t="s">
        <v>1090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35">
      <c r="A141" t="s">
        <v>0</v>
      </c>
      <c r="B141" t="s">
        <v>1094</v>
      </c>
      <c r="C141" t="s">
        <v>1090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35">
      <c r="A142" t="s">
        <v>0</v>
      </c>
      <c r="B142" t="s">
        <v>1095</v>
      </c>
      <c r="C142" t="s">
        <v>1096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 x14ac:dyDescent="0.35">
      <c r="A143" t="s">
        <v>0</v>
      </c>
      <c r="B143" t="s">
        <v>1097</v>
      </c>
      <c r="C143" t="s">
        <v>1098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35">
      <c r="A144" t="s">
        <v>0</v>
      </c>
      <c r="B144" t="s">
        <v>1099</v>
      </c>
      <c r="C144" t="s">
        <v>1100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35">
      <c r="A145" t="s">
        <v>0</v>
      </c>
      <c r="B145" t="s">
        <v>1101</v>
      </c>
      <c r="C145" t="s">
        <v>1102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35">
      <c r="A146" t="s">
        <v>0</v>
      </c>
      <c r="B146" t="s">
        <v>1103</v>
      </c>
      <c r="C146" t="s">
        <v>1104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35">
      <c r="A147" t="s">
        <v>0</v>
      </c>
      <c r="B147" t="s">
        <v>1105</v>
      </c>
      <c r="C147" t="s">
        <v>1106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35">
      <c r="A148" t="s">
        <v>0</v>
      </c>
      <c r="B148" t="s">
        <v>1107</v>
      </c>
      <c r="C148" t="s">
        <v>1108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 x14ac:dyDescent="0.35">
      <c r="A149" t="s">
        <v>0</v>
      </c>
      <c r="B149" t="s">
        <v>1109</v>
      </c>
      <c r="C149" t="s">
        <v>1110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35">
      <c r="A150" t="s">
        <v>0</v>
      </c>
      <c r="B150" t="s">
        <v>1111</v>
      </c>
      <c r="C150" t="s">
        <v>1112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35">
      <c r="A151" t="s">
        <v>0</v>
      </c>
      <c r="B151" t="s">
        <v>1113</v>
      </c>
      <c r="C151" t="s">
        <v>1114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35">
      <c r="A152" t="s">
        <v>0</v>
      </c>
      <c r="B152" t="s">
        <v>1115</v>
      </c>
      <c r="C152" t="s">
        <v>1116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 x14ac:dyDescent="0.35">
      <c r="A153" t="s">
        <v>0</v>
      </c>
      <c r="B153" t="s">
        <v>1117</v>
      </c>
      <c r="C153" t="s">
        <v>1116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 x14ac:dyDescent="0.35">
      <c r="A154" t="s">
        <v>0</v>
      </c>
      <c r="B154" t="s">
        <v>1118</v>
      </c>
      <c r="C154" t="s">
        <v>1116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 x14ac:dyDescent="0.35">
      <c r="A155" t="s">
        <v>0</v>
      </c>
      <c r="B155" t="s">
        <v>1119</v>
      </c>
      <c r="C155" t="s">
        <v>1116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</row>
    <row r="156" spans="1:9" x14ac:dyDescent="0.35">
      <c r="A156" t="s">
        <v>0</v>
      </c>
      <c r="B156" t="s">
        <v>1120</v>
      </c>
      <c r="C156" t="s">
        <v>1116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</row>
    <row r="157" spans="1:9" x14ac:dyDescent="0.35">
      <c r="A157" t="s">
        <v>0</v>
      </c>
      <c r="B157" t="s">
        <v>1121</v>
      </c>
      <c r="C157" t="s">
        <v>1122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</row>
    <row r="158" spans="1:9" x14ac:dyDescent="0.35">
      <c r="A158" t="s">
        <v>0</v>
      </c>
      <c r="B158" t="s">
        <v>1123</v>
      </c>
      <c r="C158" t="s">
        <v>1122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35">
      <c r="A159" t="s">
        <v>0</v>
      </c>
      <c r="B159" t="s">
        <v>1124</v>
      </c>
      <c r="C159" t="s">
        <v>1122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35">
      <c r="A160" t="s">
        <v>0</v>
      </c>
      <c r="B160" t="s">
        <v>1125</v>
      </c>
      <c r="C160" t="s">
        <v>1122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35">
      <c r="A161" t="s">
        <v>0</v>
      </c>
      <c r="B161" t="s">
        <v>1126</v>
      </c>
      <c r="C161" t="s">
        <v>1122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35">
      <c r="A162" t="s">
        <v>0</v>
      </c>
      <c r="B162" t="s">
        <v>1127</v>
      </c>
      <c r="C162" t="s">
        <v>1128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9" x14ac:dyDescent="0.35">
      <c r="A163" t="s">
        <v>0</v>
      </c>
      <c r="B163" t="s">
        <v>1129</v>
      </c>
      <c r="C163" t="s">
        <v>1128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</row>
    <row r="164" spans="1:9" x14ac:dyDescent="0.35">
      <c r="A164" t="s">
        <v>0</v>
      </c>
      <c r="B164" t="s">
        <v>1130</v>
      </c>
      <c r="C164" t="s">
        <v>1128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</row>
    <row r="165" spans="1:9" x14ac:dyDescent="0.35">
      <c r="A165" t="s">
        <v>0</v>
      </c>
      <c r="B165" t="s">
        <v>1131</v>
      </c>
      <c r="C165" t="s">
        <v>1128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</row>
    <row r="166" spans="1:9" x14ac:dyDescent="0.35">
      <c r="A166" t="s">
        <v>0</v>
      </c>
      <c r="B166" t="s">
        <v>1132</v>
      </c>
      <c r="C166" t="s">
        <v>1128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</row>
    <row r="167" spans="1:9" x14ac:dyDescent="0.35">
      <c r="A167" t="s">
        <v>0</v>
      </c>
      <c r="B167" t="s">
        <v>1133</v>
      </c>
      <c r="C167" t="s">
        <v>1134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</row>
    <row r="168" spans="1:9" x14ac:dyDescent="0.35">
      <c r="A168" t="s">
        <v>0</v>
      </c>
      <c r="B168" t="s">
        <v>1135</v>
      </c>
      <c r="C168" t="s">
        <v>1134</v>
      </c>
      <c r="D168">
        <v>0</v>
      </c>
      <c r="E168">
        <v>0</v>
      </c>
      <c r="F168">
        <v>711</v>
      </c>
      <c r="G168">
        <v>-700</v>
      </c>
      <c r="H168">
        <v>11</v>
      </c>
      <c r="I168">
        <v>0</v>
      </c>
    </row>
    <row r="169" spans="1:9" x14ac:dyDescent="0.35">
      <c r="A169" t="s">
        <v>0</v>
      </c>
      <c r="B169" t="s">
        <v>1136</v>
      </c>
      <c r="C169" t="s">
        <v>1137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</row>
    <row r="170" spans="1:9" x14ac:dyDescent="0.35">
      <c r="A170" t="s">
        <v>0</v>
      </c>
      <c r="B170" t="s">
        <v>1138</v>
      </c>
      <c r="C170" t="s">
        <v>1139</v>
      </c>
      <c r="D170">
        <v>0</v>
      </c>
      <c r="E170">
        <v>0</v>
      </c>
      <c r="F170">
        <v>4791.28</v>
      </c>
      <c r="G170">
        <v>-4834.37</v>
      </c>
      <c r="H170">
        <v>0</v>
      </c>
      <c r="I170">
        <v>-43.09</v>
      </c>
    </row>
    <row r="171" spans="1:9" x14ac:dyDescent="0.35">
      <c r="A171" t="s">
        <v>0</v>
      </c>
      <c r="B171" t="s">
        <v>1140</v>
      </c>
      <c r="C171" t="s">
        <v>1141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</row>
    <row r="172" spans="1:9" x14ac:dyDescent="0.35">
      <c r="A172" t="s">
        <v>0</v>
      </c>
      <c r="B172" t="s">
        <v>1142</v>
      </c>
      <c r="C172" t="s">
        <v>1141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</row>
    <row r="173" spans="1:9" x14ac:dyDescent="0.35">
      <c r="A173" t="s">
        <v>0</v>
      </c>
      <c r="B173" t="s">
        <v>1143</v>
      </c>
      <c r="C173" t="s">
        <v>1144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</row>
    <row r="174" spans="1:9" x14ac:dyDescent="0.35">
      <c r="A174" t="s">
        <v>0</v>
      </c>
      <c r="B174" t="s">
        <v>1145</v>
      </c>
      <c r="C174" t="s">
        <v>1146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</row>
    <row r="175" spans="1:9" x14ac:dyDescent="0.35">
      <c r="A175" t="s">
        <v>0</v>
      </c>
      <c r="B175" t="s">
        <v>1147</v>
      </c>
      <c r="C175" t="s">
        <v>1148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35">
      <c r="A176" t="s">
        <v>0</v>
      </c>
      <c r="B176" t="s">
        <v>1149</v>
      </c>
      <c r="C176" t="s">
        <v>1150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35">
      <c r="A177" t="s">
        <v>0</v>
      </c>
      <c r="B177" t="s">
        <v>1151</v>
      </c>
      <c r="C177" t="s">
        <v>1152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9" x14ac:dyDescent="0.35">
      <c r="A178" t="s">
        <v>0</v>
      </c>
      <c r="B178" t="s">
        <v>1153</v>
      </c>
      <c r="C178" t="s">
        <v>1154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</row>
    <row r="179" spans="1:9" x14ac:dyDescent="0.35">
      <c r="A179" t="s">
        <v>0</v>
      </c>
      <c r="B179" t="s">
        <v>1155</v>
      </c>
      <c r="C179" t="s">
        <v>1090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35">
      <c r="A180" t="s">
        <v>0</v>
      </c>
      <c r="B180" t="s">
        <v>1156</v>
      </c>
      <c r="C180" t="s">
        <v>1090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35">
      <c r="A181" t="s">
        <v>0</v>
      </c>
      <c r="B181" t="s">
        <v>1157</v>
      </c>
      <c r="C181" t="s">
        <v>1096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 x14ac:dyDescent="0.35">
      <c r="A182" t="s">
        <v>0</v>
      </c>
      <c r="B182" t="s">
        <v>1158</v>
      </c>
      <c r="C182" t="s">
        <v>1159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35">
      <c r="A183" t="s">
        <v>0</v>
      </c>
      <c r="B183" t="s">
        <v>1160</v>
      </c>
      <c r="C183" t="s">
        <v>1106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</row>
    <row r="184" spans="1:9" x14ac:dyDescent="0.35">
      <c r="A184" t="s">
        <v>0</v>
      </c>
      <c r="B184" t="s">
        <v>1161</v>
      </c>
      <c r="C184" t="s">
        <v>1162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35">
      <c r="A185" t="s">
        <v>0</v>
      </c>
      <c r="B185" t="s">
        <v>1163</v>
      </c>
      <c r="C185" t="s">
        <v>1164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</row>
    <row r="186" spans="1:9" x14ac:dyDescent="0.35">
      <c r="A186" t="s">
        <v>0</v>
      </c>
      <c r="B186" t="s">
        <v>1165</v>
      </c>
      <c r="C186" t="s">
        <v>1166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35">
      <c r="A187" t="s">
        <v>0</v>
      </c>
      <c r="B187" t="s">
        <v>1167</v>
      </c>
      <c r="C187" t="s">
        <v>1116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9" x14ac:dyDescent="0.35">
      <c r="A188" t="s">
        <v>0</v>
      </c>
      <c r="B188" t="s">
        <v>1168</v>
      </c>
      <c r="C188" t="s">
        <v>1116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35">
      <c r="A189" t="s">
        <v>0</v>
      </c>
      <c r="B189" t="s">
        <v>1169</v>
      </c>
      <c r="C189" t="s">
        <v>1122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35">
      <c r="A190" t="s">
        <v>0</v>
      </c>
      <c r="B190" t="s">
        <v>1170</v>
      </c>
      <c r="C190" t="s">
        <v>1122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</row>
    <row r="191" spans="1:9" x14ac:dyDescent="0.35">
      <c r="A191" t="s">
        <v>0</v>
      </c>
      <c r="B191" t="s">
        <v>1171</v>
      </c>
      <c r="C191" t="s">
        <v>1128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</row>
    <row r="192" spans="1:9" x14ac:dyDescent="0.35">
      <c r="A192" t="s">
        <v>0</v>
      </c>
      <c r="B192" t="s">
        <v>1172</v>
      </c>
      <c r="C192" t="s">
        <v>1128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</row>
    <row r="193" spans="1:9" x14ac:dyDescent="0.35">
      <c r="A193" t="s">
        <v>0</v>
      </c>
      <c r="B193" t="s">
        <v>1173</v>
      </c>
      <c r="C193" t="s">
        <v>1174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9" x14ac:dyDescent="0.35">
      <c r="A194" t="s">
        <v>0</v>
      </c>
      <c r="B194" t="s">
        <v>1175</v>
      </c>
      <c r="C194" t="s">
        <v>1176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</row>
    <row r="195" spans="1:9" x14ac:dyDescent="0.35">
      <c r="A195" t="s">
        <v>0</v>
      </c>
      <c r="B195" t="s">
        <v>1177</v>
      </c>
      <c r="C195" t="s">
        <v>1178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9" x14ac:dyDescent="0.35">
      <c r="A196" t="s">
        <v>0</v>
      </c>
      <c r="B196" t="s">
        <v>1179</v>
      </c>
      <c r="C196" t="s">
        <v>1180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9" x14ac:dyDescent="0.35">
      <c r="A197" t="s">
        <v>0</v>
      </c>
      <c r="B197" t="s">
        <v>1181</v>
      </c>
      <c r="C197" t="s">
        <v>1182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</row>
    <row r="198" spans="1:9" x14ac:dyDescent="0.35">
      <c r="A198" t="s">
        <v>0</v>
      </c>
      <c r="B198" t="s">
        <v>1183</v>
      </c>
      <c r="C198" t="s">
        <v>1184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35">
      <c r="A199" t="s">
        <v>0</v>
      </c>
      <c r="B199" t="s">
        <v>1185</v>
      </c>
      <c r="C199" t="s">
        <v>1186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35">
      <c r="A200" t="s">
        <v>0</v>
      </c>
      <c r="B200" t="s">
        <v>1187</v>
      </c>
      <c r="C200" t="s">
        <v>1188</v>
      </c>
      <c r="D200">
        <v>0</v>
      </c>
      <c r="E200">
        <v>0</v>
      </c>
      <c r="F200">
        <v>32119612.379999999</v>
      </c>
      <c r="G200">
        <v>-33342566.870000001</v>
      </c>
      <c r="H200">
        <v>0</v>
      </c>
      <c r="I200">
        <v>-1222954.49</v>
      </c>
    </row>
    <row r="201" spans="1:9" x14ac:dyDescent="0.35">
      <c r="A201" t="s">
        <v>0</v>
      </c>
      <c r="B201" t="s">
        <v>1189</v>
      </c>
      <c r="C201" t="s">
        <v>1190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9" x14ac:dyDescent="0.35">
      <c r="A202" t="s">
        <v>0</v>
      </c>
      <c r="B202" t="s">
        <v>1191</v>
      </c>
      <c r="C202" t="s">
        <v>1192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35">
      <c r="A203" t="s">
        <v>0</v>
      </c>
      <c r="B203" t="s">
        <v>1193</v>
      </c>
      <c r="C203" t="s">
        <v>1194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9" x14ac:dyDescent="0.35">
      <c r="A204" t="s">
        <v>0</v>
      </c>
      <c r="B204" t="s">
        <v>1195</v>
      </c>
      <c r="C204" t="s">
        <v>1196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9" x14ac:dyDescent="0.35">
      <c r="A205" t="s">
        <v>0</v>
      </c>
      <c r="B205" t="s">
        <v>1197</v>
      </c>
      <c r="C205" t="s">
        <v>1198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35">
      <c r="A206" t="s">
        <v>0</v>
      </c>
      <c r="B206" t="s">
        <v>1199</v>
      </c>
      <c r="C206" t="s">
        <v>1200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35">
      <c r="A207" t="s">
        <v>0</v>
      </c>
      <c r="B207" t="s">
        <v>1201</v>
      </c>
      <c r="C207" t="s">
        <v>1202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</row>
    <row r="208" spans="1:9" x14ac:dyDescent="0.35">
      <c r="A208" t="s">
        <v>0</v>
      </c>
      <c r="B208" t="s">
        <v>1203</v>
      </c>
      <c r="C208" t="s">
        <v>1204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35">
      <c r="A209" t="s">
        <v>0</v>
      </c>
      <c r="B209" t="s">
        <v>1205</v>
      </c>
      <c r="C209" t="s">
        <v>1206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35">
      <c r="A210" t="s">
        <v>0</v>
      </c>
      <c r="B210" t="s">
        <v>1207</v>
      </c>
      <c r="C210" t="s">
        <v>1208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35">
      <c r="A211" t="s">
        <v>0</v>
      </c>
      <c r="B211" t="s">
        <v>1209</v>
      </c>
      <c r="C211" t="s">
        <v>1210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35">
      <c r="A212" t="s">
        <v>0</v>
      </c>
      <c r="B212" t="s">
        <v>1211</v>
      </c>
      <c r="C212" t="s">
        <v>1212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9" x14ac:dyDescent="0.35">
      <c r="A213" t="s">
        <v>0</v>
      </c>
      <c r="B213" t="s">
        <v>1213</v>
      </c>
      <c r="C213" t="s">
        <v>1214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</row>
    <row r="214" spans="1:9" x14ac:dyDescent="0.35">
      <c r="A214" t="s">
        <v>0</v>
      </c>
      <c r="B214" t="s">
        <v>1215</v>
      </c>
      <c r="C214" t="s">
        <v>1216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</row>
    <row r="215" spans="1:9" x14ac:dyDescent="0.35">
      <c r="A215" t="s">
        <v>0</v>
      </c>
      <c r="B215" t="s">
        <v>1217</v>
      </c>
      <c r="C215" t="s">
        <v>1218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</row>
    <row r="216" spans="1:9" x14ac:dyDescent="0.35">
      <c r="A216" t="s">
        <v>0</v>
      </c>
      <c r="B216" t="s">
        <v>1219</v>
      </c>
      <c r="C216" t="s">
        <v>1220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35">
      <c r="A217" t="s">
        <v>0</v>
      </c>
      <c r="B217" t="s">
        <v>1221</v>
      </c>
      <c r="C217" t="s">
        <v>1222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9" x14ac:dyDescent="0.35">
      <c r="A218" t="s">
        <v>0</v>
      </c>
      <c r="B218" t="s">
        <v>1223</v>
      </c>
      <c r="C218" t="s">
        <v>1224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9" x14ac:dyDescent="0.35">
      <c r="A219" t="s">
        <v>0</v>
      </c>
      <c r="B219" t="s">
        <v>1225</v>
      </c>
      <c r="C219" t="s">
        <v>1226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9" x14ac:dyDescent="0.35">
      <c r="A220" t="s">
        <v>0</v>
      </c>
      <c r="B220" t="s">
        <v>1227</v>
      </c>
      <c r="C220" t="s">
        <v>1228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35">
      <c r="A221" t="s">
        <v>0</v>
      </c>
      <c r="B221" t="s">
        <v>1229</v>
      </c>
      <c r="C221" t="s">
        <v>1230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9" x14ac:dyDescent="0.35">
      <c r="A222" t="s">
        <v>0</v>
      </c>
      <c r="B222" t="s">
        <v>1231</v>
      </c>
      <c r="C222" t="s">
        <v>1232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</row>
    <row r="223" spans="1:9" x14ac:dyDescent="0.35">
      <c r="A223" t="s">
        <v>0</v>
      </c>
      <c r="B223" t="s">
        <v>1233</v>
      </c>
      <c r="C223" t="s">
        <v>1234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</row>
    <row r="224" spans="1:9" x14ac:dyDescent="0.35">
      <c r="A224" t="s">
        <v>0</v>
      </c>
      <c r="B224" t="s">
        <v>1235</v>
      </c>
      <c r="C224" t="s">
        <v>1190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9" x14ac:dyDescent="0.35">
      <c r="A225" t="s">
        <v>0</v>
      </c>
      <c r="B225" t="s">
        <v>1236</v>
      </c>
      <c r="C225" t="s">
        <v>1237</v>
      </c>
      <c r="D225">
        <v>0</v>
      </c>
      <c r="E225">
        <v>0</v>
      </c>
      <c r="F225">
        <v>724.8</v>
      </c>
      <c r="G225">
        <v>-724.8</v>
      </c>
      <c r="H225">
        <v>0</v>
      </c>
      <c r="I225">
        <v>0</v>
      </c>
    </row>
    <row r="226" spans="1:9" x14ac:dyDescent="0.35">
      <c r="A226" t="s">
        <v>0</v>
      </c>
      <c r="B226" t="s">
        <v>1238</v>
      </c>
      <c r="C226" t="s">
        <v>1239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</row>
    <row r="227" spans="1:9" x14ac:dyDescent="0.35">
      <c r="A227" t="s">
        <v>0</v>
      </c>
      <c r="B227" t="s">
        <v>1240</v>
      </c>
      <c r="C227" t="s">
        <v>1241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</row>
    <row r="228" spans="1:9" x14ac:dyDescent="0.35">
      <c r="A228" t="s">
        <v>0</v>
      </c>
      <c r="B228" t="s">
        <v>1242</v>
      </c>
      <c r="C228" t="s">
        <v>1243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</row>
    <row r="229" spans="1:9" x14ac:dyDescent="0.35">
      <c r="A229" t="s">
        <v>0</v>
      </c>
      <c r="B229" t="s">
        <v>1244</v>
      </c>
      <c r="C229" t="s">
        <v>1245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</row>
    <row r="230" spans="1:9" x14ac:dyDescent="0.35">
      <c r="A230" t="s">
        <v>0</v>
      </c>
      <c r="B230" t="s">
        <v>1246</v>
      </c>
      <c r="C230" t="s">
        <v>1247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</row>
    <row r="231" spans="1:9" x14ac:dyDescent="0.35">
      <c r="A231" t="s">
        <v>0</v>
      </c>
      <c r="B231" t="s">
        <v>1248</v>
      </c>
      <c r="C231" t="s">
        <v>1249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</row>
    <row r="232" spans="1:9" x14ac:dyDescent="0.35">
      <c r="A232" t="s">
        <v>0</v>
      </c>
      <c r="B232" t="s">
        <v>1250</v>
      </c>
      <c r="C232" t="s">
        <v>1251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</row>
    <row r="233" spans="1:9" x14ac:dyDescent="0.35">
      <c r="A233" t="s">
        <v>0</v>
      </c>
      <c r="B233" t="s">
        <v>1252</v>
      </c>
      <c r="C233" t="s">
        <v>1253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</row>
    <row r="234" spans="1:9" x14ac:dyDescent="0.35">
      <c r="A234" t="s">
        <v>0</v>
      </c>
      <c r="B234" t="s">
        <v>1254</v>
      </c>
      <c r="C234" t="s">
        <v>1255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</row>
    <row r="235" spans="1:9" x14ac:dyDescent="0.35">
      <c r="A235" t="s">
        <v>0</v>
      </c>
      <c r="B235" t="s">
        <v>1256</v>
      </c>
      <c r="C235" t="s">
        <v>1257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</row>
    <row r="236" spans="1:9" x14ac:dyDescent="0.35">
      <c r="A236" t="s">
        <v>0</v>
      </c>
      <c r="B236" t="s">
        <v>1258</v>
      </c>
      <c r="C236" t="s">
        <v>1259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</row>
    <row r="237" spans="1:9" x14ac:dyDescent="0.35">
      <c r="A237" t="s">
        <v>0</v>
      </c>
      <c r="B237" t="s">
        <v>1260</v>
      </c>
      <c r="C237" t="s">
        <v>1261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</row>
    <row r="238" spans="1:9" x14ac:dyDescent="0.35">
      <c r="A238" t="s">
        <v>0</v>
      </c>
      <c r="B238" t="s">
        <v>1262</v>
      </c>
      <c r="C238" t="s">
        <v>1263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</row>
    <row r="239" spans="1:9" x14ac:dyDescent="0.35">
      <c r="A239" t="s">
        <v>0</v>
      </c>
      <c r="B239" t="s">
        <v>1264</v>
      </c>
      <c r="C239" t="s">
        <v>1265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</row>
    <row r="240" spans="1:9" x14ac:dyDescent="0.35">
      <c r="A240" t="s">
        <v>0</v>
      </c>
      <c r="B240" t="s">
        <v>1266</v>
      </c>
      <c r="C240" t="s">
        <v>1267</v>
      </c>
      <c r="D240">
        <v>0</v>
      </c>
      <c r="E240">
        <v>0</v>
      </c>
      <c r="F240">
        <v>336744.37</v>
      </c>
      <c r="G240">
        <v>-442990.01</v>
      </c>
      <c r="H240">
        <v>0</v>
      </c>
      <c r="I240">
        <v>-106245.64</v>
      </c>
    </row>
    <row r="241" spans="1:9" x14ac:dyDescent="0.35">
      <c r="A241" t="s">
        <v>0</v>
      </c>
      <c r="B241" t="s">
        <v>1268</v>
      </c>
      <c r="C241" t="s">
        <v>1269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</row>
    <row r="242" spans="1:9" x14ac:dyDescent="0.35">
      <c r="A242" t="s">
        <v>0</v>
      </c>
      <c r="B242" t="s">
        <v>1270</v>
      </c>
      <c r="C242" t="s">
        <v>1271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</row>
    <row r="243" spans="1:9" x14ac:dyDescent="0.35">
      <c r="A243" t="s">
        <v>0</v>
      </c>
      <c r="B243" t="s">
        <v>1272</v>
      </c>
      <c r="C243" t="s">
        <v>1273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</row>
    <row r="244" spans="1:9" x14ac:dyDescent="0.35">
      <c r="A244" t="s">
        <v>0</v>
      </c>
      <c r="B244" t="s">
        <v>1274</v>
      </c>
      <c r="C244" t="s">
        <v>1275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</row>
    <row r="245" spans="1:9" x14ac:dyDescent="0.35">
      <c r="A245" t="s">
        <v>0</v>
      </c>
      <c r="B245" t="s">
        <v>1276</v>
      </c>
      <c r="C245" t="s">
        <v>1275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</row>
    <row r="246" spans="1:9" x14ac:dyDescent="0.35">
      <c r="A246" t="s">
        <v>0</v>
      </c>
      <c r="B246" t="s">
        <v>1277</v>
      </c>
      <c r="C246" t="s">
        <v>1278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</row>
    <row r="247" spans="1:9" x14ac:dyDescent="0.35">
      <c r="A247" t="s">
        <v>0</v>
      </c>
      <c r="B247" t="s">
        <v>1279</v>
      </c>
      <c r="C247" t="s">
        <v>1280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</row>
    <row r="248" spans="1:9" x14ac:dyDescent="0.35">
      <c r="A248" t="s">
        <v>0</v>
      </c>
      <c r="B248" t="s">
        <v>1281</v>
      </c>
      <c r="C248" t="s">
        <v>1282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</row>
    <row r="249" spans="1:9" x14ac:dyDescent="0.35">
      <c r="A249" t="s">
        <v>0</v>
      </c>
      <c r="B249" t="s">
        <v>1283</v>
      </c>
      <c r="C249" t="s">
        <v>1284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</row>
    <row r="250" spans="1:9" x14ac:dyDescent="0.35">
      <c r="A250" t="s">
        <v>0</v>
      </c>
      <c r="B250" t="s">
        <v>1285</v>
      </c>
      <c r="C250" t="s">
        <v>1286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</row>
    <row r="251" spans="1:9" x14ac:dyDescent="0.35">
      <c r="A251" t="s">
        <v>0</v>
      </c>
      <c r="B251" t="s">
        <v>1287</v>
      </c>
      <c r="C251" t="s">
        <v>1286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</row>
    <row r="252" spans="1:9" x14ac:dyDescent="0.35">
      <c r="A252" t="s">
        <v>0</v>
      </c>
      <c r="B252" t="s">
        <v>1288</v>
      </c>
      <c r="C252" t="s">
        <v>1289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</row>
    <row r="253" spans="1:9" x14ac:dyDescent="0.35">
      <c r="A253" t="s">
        <v>0</v>
      </c>
      <c r="B253" t="s">
        <v>1290</v>
      </c>
      <c r="C253" t="s">
        <v>1291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</row>
    <row r="254" spans="1:9" x14ac:dyDescent="0.35">
      <c r="A254" t="s">
        <v>0</v>
      </c>
      <c r="B254" t="s">
        <v>1292</v>
      </c>
      <c r="C254" t="s">
        <v>1293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</row>
    <row r="255" spans="1:9" x14ac:dyDescent="0.35">
      <c r="A255" t="s">
        <v>0</v>
      </c>
      <c r="B255" t="s">
        <v>1294</v>
      </c>
      <c r="C255" t="s">
        <v>1295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</row>
    <row r="256" spans="1:9" x14ac:dyDescent="0.35">
      <c r="A256" t="s">
        <v>0</v>
      </c>
      <c r="B256" t="s">
        <v>1296</v>
      </c>
      <c r="C256" t="s">
        <v>1297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</row>
    <row r="257" spans="1:9" x14ac:dyDescent="0.35">
      <c r="A257" t="s">
        <v>0</v>
      </c>
      <c r="B257" t="s">
        <v>1298</v>
      </c>
      <c r="C257" t="s">
        <v>1297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</row>
    <row r="258" spans="1:9" x14ac:dyDescent="0.35">
      <c r="A258" t="s">
        <v>0</v>
      </c>
      <c r="B258" t="s">
        <v>1299</v>
      </c>
      <c r="C258" t="s">
        <v>1300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</row>
    <row r="259" spans="1:9" x14ac:dyDescent="0.35">
      <c r="A259" t="s">
        <v>0</v>
      </c>
      <c r="B259" t="s">
        <v>1301</v>
      </c>
      <c r="C259" t="s">
        <v>1302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</row>
    <row r="260" spans="1:9" x14ac:dyDescent="0.35">
      <c r="A260" t="s">
        <v>0</v>
      </c>
      <c r="B260" t="s">
        <v>1303</v>
      </c>
      <c r="C260" t="s">
        <v>1304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</row>
    <row r="261" spans="1:9" x14ac:dyDescent="0.35">
      <c r="A261" t="s">
        <v>0</v>
      </c>
      <c r="B261" t="s">
        <v>1305</v>
      </c>
      <c r="C261" t="s">
        <v>1306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</row>
    <row r="262" spans="1:9" x14ac:dyDescent="0.35">
      <c r="A262" t="s">
        <v>0</v>
      </c>
      <c r="B262" t="s">
        <v>1307</v>
      </c>
      <c r="C262" t="s">
        <v>1308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</row>
    <row r="263" spans="1:9" x14ac:dyDescent="0.35">
      <c r="A263" t="s">
        <v>0</v>
      </c>
      <c r="B263" t="s">
        <v>1309</v>
      </c>
      <c r="C263" t="s">
        <v>1310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</row>
    <row r="264" spans="1:9" x14ac:dyDescent="0.35">
      <c r="A264" t="s">
        <v>0</v>
      </c>
      <c r="B264" t="s">
        <v>1311</v>
      </c>
      <c r="C264" t="s">
        <v>1312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</row>
    <row r="265" spans="1:9" x14ac:dyDescent="0.35">
      <c r="A265" t="s">
        <v>0</v>
      </c>
      <c r="B265" t="s">
        <v>1313</v>
      </c>
      <c r="C265" t="s">
        <v>1314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</row>
    <row r="266" spans="1:9" x14ac:dyDescent="0.35">
      <c r="A266" t="s">
        <v>0</v>
      </c>
      <c r="B266" t="s">
        <v>1315</v>
      </c>
      <c r="C266" t="s">
        <v>1314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</row>
    <row r="267" spans="1:9" x14ac:dyDescent="0.35">
      <c r="A267" t="s">
        <v>0</v>
      </c>
      <c r="B267" t="s">
        <v>1316</v>
      </c>
      <c r="C267" t="s">
        <v>1314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</row>
    <row r="268" spans="1:9" x14ac:dyDescent="0.35">
      <c r="A268" t="s">
        <v>0</v>
      </c>
      <c r="B268" t="s">
        <v>1317</v>
      </c>
      <c r="C268" t="s">
        <v>1314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</row>
    <row r="269" spans="1:9" x14ac:dyDescent="0.35">
      <c r="A269" t="s">
        <v>0</v>
      </c>
      <c r="B269" t="s">
        <v>1318</v>
      </c>
      <c r="C269" t="s">
        <v>1314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</row>
    <row r="270" spans="1:9" x14ac:dyDescent="0.35">
      <c r="A270" t="s">
        <v>0</v>
      </c>
      <c r="B270" t="s">
        <v>1319</v>
      </c>
      <c r="C270" t="s">
        <v>1314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</row>
    <row r="271" spans="1:9" x14ac:dyDescent="0.35">
      <c r="A271" t="s">
        <v>0</v>
      </c>
      <c r="B271" t="s">
        <v>1320</v>
      </c>
      <c r="C271" t="s">
        <v>1321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</row>
    <row r="272" spans="1:9" x14ac:dyDescent="0.35">
      <c r="A272" t="s">
        <v>0</v>
      </c>
      <c r="B272" t="s">
        <v>1322</v>
      </c>
      <c r="C272" t="s">
        <v>1323</v>
      </c>
      <c r="D272">
        <v>0</v>
      </c>
      <c r="E272">
        <v>0</v>
      </c>
      <c r="F272">
        <v>1299392.79</v>
      </c>
      <c r="G272">
        <v>-1486361.82</v>
      </c>
      <c r="H272">
        <v>0</v>
      </c>
      <c r="I272">
        <v>-186969.03</v>
      </c>
    </row>
    <row r="273" spans="1:9" x14ac:dyDescent="0.35">
      <c r="A273" t="s">
        <v>0</v>
      </c>
      <c r="B273" t="s">
        <v>1324</v>
      </c>
      <c r="C273" t="s">
        <v>1325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</row>
    <row r="274" spans="1:9" x14ac:dyDescent="0.35">
      <c r="A274" t="s">
        <v>0</v>
      </c>
      <c r="B274" t="s">
        <v>1326</v>
      </c>
      <c r="C274" t="s">
        <v>1327</v>
      </c>
      <c r="D274">
        <v>0</v>
      </c>
      <c r="E274">
        <v>0</v>
      </c>
      <c r="F274">
        <v>2724287.99</v>
      </c>
      <c r="G274">
        <v>-2551942.4500000002</v>
      </c>
      <c r="H274">
        <v>172345.54</v>
      </c>
      <c r="I274">
        <v>0</v>
      </c>
    </row>
    <row r="275" spans="1:9" x14ac:dyDescent="0.35">
      <c r="A275" t="s">
        <v>0</v>
      </c>
      <c r="B275" t="s">
        <v>1328</v>
      </c>
      <c r="C275" t="s">
        <v>1329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</row>
    <row r="276" spans="1:9" x14ac:dyDescent="0.35">
      <c r="A276" t="s">
        <v>0</v>
      </c>
      <c r="B276" t="s">
        <v>1330</v>
      </c>
      <c r="C276" t="s">
        <v>1331</v>
      </c>
      <c r="D276">
        <v>0</v>
      </c>
      <c r="E276">
        <v>0</v>
      </c>
      <c r="F276">
        <v>4899.51</v>
      </c>
      <c r="G276">
        <v>-1019675.24</v>
      </c>
      <c r="H276">
        <v>0</v>
      </c>
      <c r="I276">
        <v>-1014775.73</v>
      </c>
    </row>
    <row r="277" spans="1:9" x14ac:dyDescent="0.35">
      <c r="A277" t="s">
        <v>0</v>
      </c>
      <c r="B277" t="s">
        <v>1332</v>
      </c>
      <c r="C277" t="s">
        <v>1333</v>
      </c>
      <c r="D277">
        <v>0</v>
      </c>
      <c r="E277">
        <v>0</v>
      </c>
      <c r="F277">
        <v>1229.17</v>
      </c>
      <c r="G277">
        <v>-1229.17</v>
      </c>
      <c r="H277">
        <v>0</v>
      </c>
      <c r="I277">
        <v>0</v>
      </c>
    </row>
    <row r="278" spans="1:9" x14ac:dyDescent="0.35">
      <c r="A278" t="s">
        <v>0</v>
      </c>
      <c r="B278" t="s">
        <v>1334</v>
      </c>
      <c r="C278" t="s">
        <v>1335</v>
      </c>
      <c r="D278">
        <v>0</v>
      </c>
      <c r="E278">
        <v>0</v>
      </c>
      <c r="F278">
        <v>2584024.1</v>
      </c>
      <c r="G278">
        <v>-293949.83</v>
      </c>
      <c r="H278">
        <v>2290074.27</v>
      </c>
      <c r="I278">
        <v>0</v>
      </c>
    </row>
    <row r="279" spans="1:9" x14ac:dyDescent="0.35">
      <c r="A279" t="s">
        <v>0</v>
      </c>
      <c r="B279" t="s">
        <v>1336</v>
      </c>
      <c r="C279" t="s">
        <v>1337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</row>
    <row r="280" spans="1:9" x14ac:dyDescent="0.35">
      <c r="A280" t="s">
        <v>0</v>
      </c>
      <c r="B280" t="s">
        <v>1338</v>
      </c>
      <c r="C280" t="s">
        <v>1339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</row>
    <row r="281" spans="1:9" x14ac:dyDescent="0.35">
      <c r="A281" t="s">
        <v>0</v>
      </c>
      <c r="B281" t="s">
        <v>1340</v>
      </c>
      <c r="C281" t="s">
        <v>1339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</row>
    <row r="282" spans="1:9" x14ac:dyDescent="0.35">
      <c r="A282" t="s">
        <v>0</v>
      </c>
      <c r="B282" t="s">
        <v>1341</v>
      </c>
      <c r="C282" t="s">
        <v>1342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</row>
    <row r="283" spans="1:9" x14ac:dyDescent="0.35">
      <c r="A283" t="s">
        <v>0</v>
      </c>
      <c r="B283" t="s">
        <v>1343</v>
      </c>
      <c r="C283" t="s">
        <v>1344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</row>
    <row r="284" spans="1:9" x14ac:dyDescent="0.35">
      <c r="A284" t="s">
        <v>0</v>
      </c>
      <c r="B284" t="s">
        <v>1345</v>
      </c>
      <c r="C284" t="s">
        <v>1346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</row>
    <row r="285" spans="1:9" x14ac:dyDescent="0.35">
      <c r="A285" t="s">
        <v>0</v>
      </c>
      <c r="B285" t="s">
        <v>1347</v>
      </c>
      <c r="C285" t="s">
        <v>1348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</row>
    <row r="286" spans="1:9" x14ac:dyDescent="0.35">
      <c r="A286" t="s">
        <v>0</v>
      </c>
      <c r="B286" t="s">
        <v>1349</v>
      </c>
      <c r="C286" t="s">
        <v>1350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</row>
    <row r="287" spans="1:9" x14ac:dyDescent="0.35">
      <c r="A287" t="s">
        <v>0</v>
      </c>
      <c r="B287" t="s">
        <v>1351</v>
      </c>
      <c r="C287" t="s">
        <v>1352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9" x14ac:dyDescent="0.35">
      <c r="A288" t="s">
        <v>0</v>
      </c>
      <c r="B288" t="s">
        <v>1353</v>
      </c>
      <c r="C288" t="s">
        <v>1354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</row>
    <row r="289" spans="1:9" x14ac:dyDescent="0.35">
      <c r="A289" t="s">
        <v>0</v>
      </c>
      <c r="B289" t="s">
        <v>1355</v>
      </c>
      <c r="C289" t="s">
        <v>1356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9" x14ac:dyDescent="0.35">
      <c r="A290" t="s">
        <v>0</v>
      </c>
      <c r="B290" t="s">
        <v>1357</v>
      </c>
      <c r="C290" t="s">
        <v>1358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</row>
    <row r="291" spans="1:9" x14ac:dyDescent="0.35">
      <c r="A291" t="s">
        <v>0</v>
      </c>
      <c r="B291" t="s">
        <v>1359</v>
      </c>
      <c r="C291" t="s">
        <v>1360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</row>
    <row r="292" spans="1:9" x14ac:dyDescent="0.35">
      <c r="A292" t="s">
        <v>0</v>
      </c>
      <c r="B292" t="s">
        <v>1361</v>
      </c>
      <c r="C292" t="s">
        <v>1362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</row>
    <row r="293" spans="1:9" x14ac:dyDescent="0.35">
      <c r="A293" t="s">
        <v>0</v>
      </c>
      <c r="B293" t="s">
        <v>1363</v>
      </c>
      <c r="C293" t="s">
        <v>1356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</row>
    <row r="294" spans="1:9" x14ac:dyDescent="0.35">
      <c r="A294" t="s">
        <v>0</v>
      </c>
      <c r="B294" t="s">
        <v>1364</v>
      </c>
      <c r="C294" t="s">
        <v>1365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</row>
    <row r="295" spans="1:9" x14ac:dyDescent="0.35">
      <c r="A295" t="s">
        <v>0</v>
      </c>
      <c r="B295" t="s">
        <v>1366</v>
      </c>
      <c r="C295" t="s">
        <v>1367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</row>
    <row r="296" spans="1:9" x14ac:dyDescent="0.35">
      <c r="A296" t="s">
        <v>0</v>
      </c>
      <c r="B296" t="s">
        <v>1368</v>
      </c>
      <c r="C296" t="s">
        <v>1369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</row>
    <row r="297" spans="1:9" x14ac:dyDescent="0.35">
      <c r="A297" t="s">
        <v>0</v>
      </c>
      <c r="B297" t="s">
        <v>1370</v>
      </c>
      <c r="C297" t="s">
        <v>1371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</row>
    <row r="298" spans="1:9" x14ac:dyDescent="0.35">
      <c r="A298" t="s">
        <v>0</v>
      </c>
      <c r="B298" t="s">
        <v>1372</v>
      </c>
      <c r="C298" t="s">
        <v>1373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</row>
    <row r="299" spans="1:9" x14ac:dyDescent="0.35">
      <c r="A299" t="s">
        <v>0</v>
      </c>
      <c r="B299" t="s">
        <v>1374</v>
      </c>
      <c r="C299" t="s">
        <v>1375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</row>
    <row r="300" spans="1:9" x14ac:dyDescent="0.35">
      <c r="A300" t="s">
        <v>0</v>
      </c>
      <c r="B300" t="s">
        <v>1376</v>
      </c>
      <c r="C300" t="s">
        <v>1377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</row>
    <row r="301" spans="1:9" x14ac:dyDescent="0.35">
      <c r="A301" t="s">
        <v>0</v>
      </c>
      <c r="B301" t="s">
        <v>1378</v>
      </c>
      <c r="C301" t="s">
        <v>1371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</row>
    <row r="302" spans="1:9" x14ac:dyDescent="0.35">
      <c r="A302" t="s">
        <v>0</v>
      </c>
      <c r="B302" t="s">
        <v>1379</v>
      </c>
      <c r="C302" t="s">
        <v>1380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</row>
    <row r="303" spans="1:9" x14ac:dyDescent="0.35">
      <c r="A303" t="s">
        <v>0</v>
      </c>
      <c r="B303" t="s">
        <v>1381</v>
      </c>
      <c r="C303" t="s">
        <v>1382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</row>
    <row r="304" spans="1:9" x14ac:dyDescent="0.35">
      <c r="A304" t="s">
        <v>0</v>
      </c>
      <c r="B304" t="s">
        <v>1383</v>
      </c>
      <c r="C304" t="s">
        <v>1384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</row>
    <row r="305" spans="1:9" x14ac:dyDescent="0.35">
      <c r="A305" t="s">
        <v>0</v>
      </c>
      <c r="B305" t="s">
        <v>1385</v>
      </c>
      <c r="C305" t="s">
        <v>1386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</row>
    <row r="306" spans="1:9" x14ac:dyDescent="0.35">
      <c r="A306" t="s">
        <v>0</v>
      </c>
      <c r="B306" t="s">
        <v>1387</v>
      </c>
      <c r="C306" t="s">
        <v>1388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</row>
    <row r="307" spans="1:9" x14ac:dyDescent="0.35">
      <c r="A307" t="s">
        <v>0</v>
      </c>
      <c r="B307" t="s">
        <v>1389</v>
      </c>
      <c r="C307" t="s">
        <v>1390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</row>
    <row r="308" spans="1:9" x14ac:dyDescent="0.35">
      <c r="A308" t="s">
        <v>0</v>
      </c>
      <c r="B308" t="s">
        <v>1391</v>
      </c>
      <c r="C308" t="s">
        <v>1392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</row>
    <row r="309" spans="1:9" x14ac:dyDescent="0.35">
      <c r="A309" t="s">
        <v>0</v>
      </c>
      <c r="B309" t="s">
        <v>1393</v>
      </c>
      <c r="C309" t="s">
        <v>1394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</row>
    <row r="310" spans="1:9" x14ac:dyDescent="0.35">
      <c r="A310" t="s">
        <v>0</v>
      </c>
      <c r="B310" t="s">
        <v>1395</v>
      </c>
      <c r="C310" t="s">
        <v>1396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</row>
    <row r="311" spans="1:9" x14ac:dyDescent="0.35">
      <c r="A311" t="s">
        <v>0</v>
      </c>
      <c r="B311" t="s">
        <v>1397</v>
      </c>
      <c r="C311" t="s">
        <v>1398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</row>
    <row r="312" spans="1:9" x14ac:dyDescent="0.35">
      <c r="A312" t="s">
        <v>0</v>
      </c>
      <c r="B312" t="s">
        <v>1399</v>
      </c>
      <c r="C312" t="s">
        <v>1400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</row>
    <row r="313" spans="1:9" x14ac:dyDescent="0.35">
      <c r="A313" t="s">
        <v>0</v>
      </c>
      <c r="B313" t="s">
        <v>1401</v>
      </c>
      <c r="C313" t="s">
        <v>1402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</row>
    <row r="314" spans="1:9" x14ac:dyDescent="0.35">
      <c r="A314" t="s">
        <v>0</v>
      </c>
      <c r="B314" t="s">
        <v>1403</v>
      </c>
      <c r="C314" t="s">
        <v>1404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</row>
    <row r="315" spans="1:9" x14ac:dyDescent="0.35">
      <c r="A315" t="s">
        <v>0</v>
      </c>
      <c r="B315" t="s">
        <v>1405</v>
      </c>
      <c r="C315" t="s">
        <v>1406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</row>
    <row r="316" spans="1:9" x14ac:dyDescent="0.35">
      <c r="A316" t="s">
        <v>0</v>
      </c>
      <c r="B316" t="s">
        <v>1407</v>
      </c>
      <c r="C316" t="s">
        <v>1408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</row>
    <row r="317" spans="1:9" x14ac:dyDescent="0.35">
      <c r="A317" t="s">
        <v>0</v>
      </c>
      <c r="B317" t="s">
        <v>1409</v>
      </c>
      <c r="C317" t="s">
        <v>1410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</row>
    <row r="318" spans="1:9" x14ac:dyDescent="0.35">
      <c r="A318" t="s">
        <v>0</v>
      </c>
      <c r="B318" t="s">
        <v>1411</v>
      </c>
      <c r="C318" t="s">
        <v>1412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</row>
    <row r="319" spans="1:9" x14ac:dyDescent="0.35">
      <c r="A319" t="s">
        <v>0</v>
      </c>
      <c r="B319" t="s">
        <v>1413</v>
      </c>
      <c r="C319" t="s">
        <v>1414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</row>
    <row r="320" spans="1:9" x14ac:dyDescent="0.35">
      <c r="A320" t="s">
        <v>0</v>
      </c>
      <c r="B320" t="s">
        <v>1415</v>
      </c>
      <c r="C320" t="s">
        <v>1416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</row>
    <row r="321" spans="1:9" x14ac:dyDescent="0.35">
      <c r="A321" t="s">
        <v>0</v>
      </c>
      <c r="B321" t="s">
        <v>1417</v>
      </c>
      <c r="C321" t="s">
        <v>1418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</row>
    <row r="322" spans="1:9" x14ac:dyDescent="0.35">
      <c r="A322" t="s">
        <v>0</v>
      </c>
      <c r="B322" t="s">
        <v>1419</v>
      </c>
      <c r="C322" t="s">
        <v>1420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</row>
    <row r="323" spans="1:9" x14ac:dyDescent="0.35">
      <c r="A323" t="s">
        <v>0</v>
      </c>
      <c r="B323" t="s">
        <v>1421</v>
      </c>
      <c r="C323" t="s">
        <v>1422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</row>
    <row r="324" spans="1:9" x14ac:dyDescent="0.35">
      <c r="A324" t="s">
        <v>0</v>
      </c>
      <c r="B324" t="s">
        <v>1423</v>
      </c>
      <c r="C324" t="s">
        <v>1424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</row>
    <row r="325" spans="1:9" x14ac:dyDescent="0.35">
      <c r="A325" t="s">
        <v>0</v>
      </c>
      <c r="B325" t="s">
        <v>1425</v>
      </c>
      <c r="C325" t="s">
        <v>1426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</row>
    <row r="326" spans="1:9" x14ac:dyDescent="0.35">
      <c r="A326" t="s">
        <v>0</v>
      </c>
      <c r="B326" t="s">
        <v>1427</v>
      </c>
      <c r="C326" t="s">
        <v>1428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</row>
    <row r="327" spans="1:9" x14ac:dyDescent="0.35">
      <c r="A327" t="s">
        <v>0</v>
      </c>
      <c r="B327" t="s">
        <v>1429</v>
      </c>
      <c r="C327" t="s">
        <v>1430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</row>
    <row r="328" spans="1:9" x14ac:dyDescent="0.35">
      <c r="A328" t="s">
        <v>0</v>
      </c>
      <c r="B328" t="s">
        <v>1431</v>
      </c>
      <c r="C328" t="s">
        <v>1432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</row>
    <row r="329" spans="1:9" x14ac:dyDescent="0.35">
      <c r="A329" t="s">
        <v>0</v>
      </c>
      <c r="B329" t="s">
        <v>1433</v>
      </c>
      <c r="C329" t="s">
        <v>1434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</row>
    <row r="330" spans="1:9" x14ac:dyDescent="0.35">
      <c r="A330" t="s">
        <v>0</v>
      </c>
      <c r="B330" t="s">
        <v>1435</v>
      </c>
      <c r="C330" t="s">
        <v>1436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</row>
    <row r="331" spans="1:9" x14ac:dyDescent="0.35">
      <c r="A331" t="s">
        <v>0</v>
      </c>
      <c r="B331" t="s">
        <v>1437</v>
      </c>
      <c r="C331" t="s">
        <v>1438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</row>
    <row r="332" spans="1:9" x14ac:dyDescent="0.35">
      <c r="A332" t="s">
        <v>0</v>
      </c>
      <c r="B332" t="s">
        <v>1439</v>
      </c>
      <c r="C332" t="s">
        <v>1440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</row>
    <row r="333" spans="1:9" x14ac:dyDescent="0.35">
      <c r="A333" t="s">
        <v>0</v>
      </c>
      <c r="B333" t="s">
        <v>1441</v>
      </c>
      <c r="C333" t="s">
        <v>1442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</row>
    <row r="334" spans="1:9" x14ac:dyDescent="0.35">
      <c r="A334" t="s">
        <v>0</v>
      </c>
      <c r="B334" t="s">
        <v>1443</v>
      </c>
      <c r="C334" t="s">
        <v>1444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</row>
    <row r="335" spans="1:9" x14ac:dyDescent="0.35">
      <c r="A335" t="s">
        <v>0</v>
      </c>
      <c r="B335" t="s">
        <v>1445</v>
      </c>
      <c r="C335" t="s">
        <v>1446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</row>
    <row r="336" spans="1:9" x14ac:dyDescent="0.35">
      <c r="A336" t="s">
        <v>0</v>
      </c>
      <c r="B336" t="s">
        <v>1447</v>
      </c>
      <c r="C336" t="s">
        <v>1448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</row>
    <row r="337" spans="1:9" x14ac:dyDescent="0.35">
      <c r="A337" t="s">
        <v>0</v>
      </c>
      <c r="B337" t="s">
        <v>1449</v>
      </c>
      <c r="C337" t="s">
        <v>1450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</row>
    <row r="338" spans="1:9" x14ac:dyDescent="0.35">
      <c r="A338" t="s">
        <v>0</v>
      </c>
      <c r="B338" t="s">
        <v>1451</v>
      </c>
      <c r="C338" t="s">
        <v>1452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</row>
    <row r="339" spans="1:9" x14ac:dyDescent="0.35">
      <c r="A339" t="s">
        <v>0</v>
      </c>
      <c r="B339" t="s">
        <v>1453</v>
      </c>
      <c r="C339" t="s">
        <v>1454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</row>
    <row r="340" spans="1:9" x14ac:dyDescent="0.35">
      <c r="A340" t="s">
        <v>0</v>
      </c>
      <c r="B340" t="s">
        <v>1455</v>
      </c>
      <c r="C340" t="s">
        <v>1456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</row>
    <row r="341" spans="1:9" x14ac:dyDescent="0.35">
      <c r="A341" t="s">
        <v>0</v>
      </c>
      <c r="B341" t="s">
        <v>1457</v>
      </c>
      <c r="C341" t="s">
        <v>1458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</row>
    <row r="342" spans="1:9" x14ac:dyDescent="0.35">
      <c r="A342" t="s">
        <v>0</v>
      </c>
      <c r="B342" t="s">
        <v>1459</v>
      </c>
      <c r="C342" t="s">
        <v>1460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</row>
    <row r="343" spans="1:9" x14ac:dyDescent="0.35">
      <c r="A343" t="s">
        <v>0</v>
      </c>
      <c r="B343" t="s">
        <v>1461</v>
      </c>
      <c r="C343" t="s">
        <v>1352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</row>
    <row r="344" spans="1:9" x14ac:dyDescent="0.35">
      <c r="A344" t="s">
        <v>0</v>
      </c>
      <c r="B344" t="s">
        <v>1462</v>
      </c>
      <c r="C344" t="s">
        <v>1354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</row>
    <row r="345" spans="1:9" x14ac:dyDescent="0.35">
      <c r="A345" t="s">
        <v>0</v>
      </c>
      <c r="B345" t="s">
        <v>1463</v>
      </c>
      <c r="C345" t="s">
        <v>1356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</row>
    <row r="346" spans="1:9" x14ac:dyDescent="0.35">
      <c r="A346" t="s">
        <v>0</v>
      </c>
      <c r="B346" t="s">
        <v>1464</v>
      </c>
      <c r="C346" t="s">
        <v>1358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</row>
    <row r="347" spans="1:9" x14ac:dyDescent="0.35">
      <c r="A347" t="s">
        <v>0</v>
      </c>
      <c r="B347" t="s">
        <v>1465</v>
      </c>
      <c r="C347" t="s">
        <v>1360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</row>
    <row r="348" spans="1:9" x14ac:dyDescent="0.35">
      <c r="A348" t="s">
        <v>0</v>
      </c>
      <c r="B348" t="s">
        <v>1466</v>
      </c>
      <c r="C348" t="s">
        <v>1362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</row>
    <row r="349" spans="1:9" x14ac:dyDescent="0.35">
      <c r="A349" t="s">
        <v>0</v>
      </c>
      <c r="B349" t="s">
        <v>1467</v>
      </c>
      <c r="C349" t="s">
        <v>1356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</row>
    <row r="350" spans="1:9" x14ac:dyDescent="0.35">
      <c r="A350" t="s">
        <v>0</v>
      </c>
      <c r="B350" t="s">
        <v>1468</v>
      </c>
      <c r="C350" t="s">
        <v>1365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</row>
    <row r="351" spans="1:9" x14ac:dyDescent="0.35">
      <c r="A351" t="s">
        <v>0</v>
      </c>
      <c r="B351" t="s">
        <v>1469</v>
      </c>
      <c r="C351" t="s">
        <v>1367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</row>
    <row r="352" spans="1:9" x14ac:dyDescent="0.35">
      <c r="A352" t="s">
        <v>0</v>
      </c>
      <c r="B352" t="s">
        <v>1470</v>
      </c>
      <c r="C352" t="s">
        <v>1369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</row>
    <row r="353" spans="1:9" x14ac:dyDescent="0.35">
      <c r="A353" t="s">
        <v>0</v>
      </c>
      <c r="B353" t="s">
        <v>1471</v>
      </c>
      <c r="C353" t="s">
        <v>1371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</row>
    <row r="354" spans="1:9" x14ac:dyDescent="0.35">
      <c r="A354" t="s">
        <v>0</v>
      </c>
      <c r="B354" t="s">
        <v>1472</v>
      </c>
      <c r="C354" t="s">
        <v>1373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</row>
    <row r="355" spans="1:9" x14ac:dyDescent="0.35">
      <c r="A355" t="s">
        <v>0</v>
      </c>
      <c r="B355" t="s">
        <v>1473</v>
      </c>
      <c r="C355" t="s">
        <v>1375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</row>
    <row r="356" spans="1:9" x14ac:dyDescent="0.35">
      <c r="A356" t="s">
        <v>0</v>
      </c>
      <c r="B356" t="s">
        <v>1474</v>
      </c>
      <c r="C356" t="s">
        <v>1377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</row>
    <row r="357" spans="1:9" x14ac:dyDescent="0.35">
      <c r="A357" t="s">
        <v>0</v>
      </c>
      <c r="B357" t="s">
        <v>1475</v>
      </c>
      <c r="C357" t="s">
        <v>1371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</row>
    <row r="358" spans="1:9" x14ac:dyDescent="0.35">
      <c r="A358" t="s">
        <v>0</v>
      </c>
      <c r="B358" t="s">
        <v>1476</v>
      </c>
      <c r="C358" t="s">
        <v>1380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</row>
    <row r="359" spans="1:9" x14ac:dyDescent="0.35">
      <c r="A359" t="s">
        <v>0</v>
      </c>
      <c r="B359" t="s">
        <v>1477</v>
      </c>
      <c r="C359" t="s">
        <v>1382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</row>
    <row r="360" spans="1:9" x14ac:dyDescent="0.35">
      <c r="A360" t="s">
        <v>0</v>
      </c>
      <c r="B360" t="s">
        <v>1478</v>
      </c>
      <c r="C360" t="s">
        <v>1384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</row>
    <row r="361" spans="1:9" x14ac:dyDescent="0.35">
      <c r="A361" t="s">
        <v>0</v>
      </c>
      <c r="B361" t="s">
        <v>1479</v>
      </c>
      <c r="C361" t="s">
        <v>1386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</row>
    <row r="362" spans="1:9" x14ac:dyDescent="0.35">
      <c r="A362" t="s">
        <v>0</v>
      </c>
      <c r="B362" t="s">
        <v>1480</v>
      </c>
      <c r="C362" t="s">
        <v>1388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</row>
    <row r="363" spans="1:9" x14ac:dyDescent="0.35">
      <c r="A363" t="s">
        <v>0</v>
      </c>
      <c r="B363" t="s">
        <v>1481</v>
      </c>
      <c r="C363" t="s">
        <v>1390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</row>
    <row r="364" spans="1:9" x14ac:dyDescent="0.35">
      <c r="A364" t="s">
        <v>0</v>
      </c>
      <c r="B364" t="s">
        <v>1482</v>
      </c>
      <c r="C364" t="s">
        <v>1392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</row>
    <row r="365" spans="1:9" x14ac:dyDescent="0.35">
      <c r="A365" t="s">
        <v>0</v>
      </c>
      <c r="B365" t="s">
        <v>1483</v>
      </c>
      <c r="C365" t="s">
        <v>1394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</row>
    <row r="366" spans="1:9" x14ac:dyDescent="0.35">
      <c r="A366" t="s">
        <v>0</v>
      </c>
      <c r="B366" t="s">
        <v>1484</v>
      </c>
      <c r="C366" t="s">
        <v>1396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</row>
    <row r="367" spans="1:9" x14ac:dyDescent="0.35">
      <c r="A367" t="s">
        <v>0</v>
      </c>
      <c r="B367" t="s">
        <v>1485</v>
      </c>
      <c r="C367" t="s">
        <v>1398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</row>
    <row r="368" spans="1:9" x14ac:dyDescent="0.35">
      <c r="A368" t="s">
        <v>0</v>
      </c>
      <c r="B368" t="s">
        <v>1486</v>
      </c>
      <c r="C368" t="s">
        <v>1400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</row>
    <row r="369" spans="1:9" x14ac:dyDescent="0.35">
      <c r="A369" t="s">
        <v>0</v>
      </c>
      <c r="B369" t="s">
        <v>1487</v>
      </c>
      <c r="C369" t="s">
        <v>1402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</row>
    <row r="370" spans="1:9" x14ac:dyDescent="0.35">
      <c r="A370" t="s">
        <v>0</v>
      </c>
      <c r="B370" t="s">
        <v>1488</v>
      </c>
      <c r="C370" t="s">
        <v>1404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</row>
    <row r="371" spans="1:9" x14ac:dyDescent="0.35">
      <c r="A371" t="s">
        <v>0</v>
      </c>
      <c r="B371" t="s">
        <v>1489</v>
      </c>
      <c r="C371" t="s">
        <v>1406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</row>
    <row r="372" spans="1:9" x14ac:dyDescent="0.35">
      <c r="A372" t="s">
        <v>0</v>
      </c>
      <c r="B372" t="s">
        <v>1490</v>
      </c>
      <c r="C372" t="s">
        <v>1408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</row>
    <row r="373" spans="1:9" x14ac:dyDescent="0.35">
      <c r="A373" t="s">
        <v>0</v>
      </c>
      <c r="B373" t="s">
        <v>1491</v>
      </c>
      <c r="C373" t="s">
        <v>1410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</row>
    <row r="374" spans="1:9" x14ac:dyDescent="0.35">
      <c r="A374" t="s">
        <v>0</v>
      </c>
      <c r="B374" t="s">
        <v>1492</v>
      </c>
      <c r="C374" t="s">
        <v>1412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</row>
    <row r="375" spans="1:9" x14ac:dyDescent="0.35">
      <c r="A375" t="s">
        <v>0</v>
      </c>
      <c r="B375" t="s">
        <v>1493</v>
      </c>
      <c r="C375" t="s">
        <v>1414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</row>
    <row r="376" spans="1:9" x14ac:dyDescent="0.35">
      <c r="A376" t="s">
        <v>0</v>
      </c>
      <c r="B376" t="s">
        <v>1494</v>
      </c>
      <c r="C376" t="s">
        <v>1416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</row>
    <row r="377" spans="1:9" x14ac:dyDescent="0.35">
      <c r="A377" t="s">
        <v>0</v>
      </c>
      <c r="B377" t="s">
        <v>1495</v>
      </c>
      <c r="C377" t="s">
        <v>1418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</row>
    <row r="378" spans="1:9" x14ac:dyDescent="0.35">
      <c r="A378" t="s">
        <v>0</v>
      </c>
      <c r="B378" t="s">
        <v>1496</v>
      </c>
      <c r="C378" t="s">
        <v>1420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</row>
    <row r="379" spans="1:9" x14ac:dyDescent="0.35">
      <c r="A379" t="s">
        <v>0</v>
      </c>
      <c r="B379" t="s">
        <v>1497</v>
      </c>
      <c r="C379" t="s">
        <v>1422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</row>
    <row r="380" spans="1:9" x14ac:dyDescent="0.35">
      <c r="A380" t="s">
        <v>0</v>
      </c>
      <c r="B380" t="s">
        <v>1498</v>
      </c>
      <c r="C380" t="s">
        <v>1424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</row>
    <row r="381" spans="1:9" x14ac:dyDescent="0.35">
      <c r="A381" t="s">
        <v>0</v>
      </c>
      <c r="B381" t="s">
        <v>1499</v>
      </c>
      <c r="C381" t="s">
        <v>1426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</row>
    <row r="382" spans="1:9" x14ac:dyDescent="0.35">
      <c r="A382" t="s">
        <v>0</v>
      </c>
      <c r="B382" t="s">
        <v>1500</v>
      </c>
      <c r="C382" t="s">
        <v>1428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</row>
    <row r="383" spans="1:9" x14ac:dyDescent="0.35">
      <c r="A383" t="s">
        <v>0</v>
      </c>
      <c r="B383" t="s">
        <v>1501</v>
      </c>
      <c r="C383" t="s">
        <v>1430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</row>
    <row r="384" spans="1:9" x14ac:dyDescent="0.35">
      <c r="A384" t="s">
        <v>0</v>
      </c>
      <c r="B384" t="s">
        <v>1502</v>
      </c>
      <c r="C384" t="s">
        <v>1432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</row>
    <row r="385" spans="1:9" x14ac:dyDescent="0.35">
      <c r="A385" t="s">
        <v>0</v>
      </c>
      <c r="B385" t="s">
        <v>1503</v>
      </c>
      <c r="C385" t="s">
        <v>1434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</row>
    <row r="386" spans="1:9" x14ac:dyDescent="0.35">
      <c r="A386" t="s">
        <v>0</v>
      </c>
      <c r="B386" t="s">
        <v>1504</v>
      </c>
      <c r="C386" t="s">
        <v>1436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</row>
    <row r="387" spans="1:9" x14ac:dyDescent="0.35">
      <c r="A387" t="s">
        <v>0</v>
      </c>
      <c r="B387" t="s">
        <v>1505</v>
      </c>
      <c r="C387" t="s">
        <v>1438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</row>
    <row r="388" spans="1:9" x14ac:dyDescent="0.35">
      <c r="A388" t="s">
        <v>0</v>
      </c>
      <c r="B388" t="s">
        <v>1506</v>
      </c>
      <c r="C388" t="s">
        <v>1440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</row>
    <row r="389" spans="1:9" x14ac:dyDescent="0.35">
      <c r="A389" t="s">
        <v>0</v>
      </c>
      <c r="B389" t="s">
        <v>1507</v>
      </c>
      <c r="C389" t="s">
        <v>1442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</row>
    <row r="390" spans="1:9" x14ac:dyDescent="0.35">
      <c r="A390" t="s">
        <v>0</v>
      </c>
      <c r="B390" t="s">
        <v>1508</v>
      </c>
      <c r="C390" t="s">
        <v>1444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</row>
    <row r="391" spans="1:9" x14ac:dyDescent="0.35">
      <c r="A391" t="s">
        <v>0</v>
      </c>
      <c r="B391" t="s">
        <v>1509</v>
      </c>
      <c r="C391" t="s">
        <v>1446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</row>
    <row r="392" spans="1:9" x14ac:dyDescent="0.35">
      <c r="A392" t="s">
        <v>0</v>
      </c>
      <c r="B392" t="s">
        <v>1510</v>
      </c>
      <c r="C392" t="s">
        <v>1448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</row>
    <row r="393" spans="1:9" x14ac:dyDescent="0.35">
      <c r="A393" t="s">
        <v>0</v>
      </c>
      <c r="B393" t="s">
        <v>1511</v>
      </c>
      <c r="C393" t="s">
        <v>1450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</row>
    <row r="394" spans="1:9" x14ac:dyDescent="0.35">
      <c r="A394" t="s">
        <v>0</v>
      </c>
      <c r="B394" t="s">
        <v>1512</v>
      </c>
      <c r="C394" t="s">
        <v>1452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</row>
    <row r="395" spans="1:9" x14ac:dyDescent="0.35">
      <c r="A395" t="s">
        <v>0</v>
      </c>
      <c r="B395" t="s">
        <v>1513</v>
      </c>
      <c r="C395" t="s">
        <v>1454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</row>
    <row r="396" spans="1:9" x14ac:dyDescent="0.35">
      <c r="A396" t="s">
        <v>0</v>
      </c>
      <c r="B396" t="s">
        <v>1514</v>
      </c>
      <c r="C396" t="s">
        <v>1456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</row>
    <row r="397" spans="1:9" x14ac:dyDescent="0.35">
      <c r="A397" t="s">
        <v>0</v>
      </c>
      <c r="B397" t="s">
        <v>1515</v>
      </c>
      <c r="C397" t="s">
        <v>1458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</row>
    <row r="398" spans="1:9" x14ac:dyDescent="0.35">
      <c r="A398" t="s">
        <v>0</v>
      </c>
      <c r="B398" t="s">
        <v>1516</v>
      </c>
      <c r="C398" t="s">
        <v>1460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</row>
    <row r="399" spans="1:9" x14ac:dyDescent="0.35">
      <c r="A399" t="s">
        <v>0</v>
      </c>
      <c r="B399" t="s">
        <v>1517</v>
      </c>
      <c r="C399" t="s">
        <v>1352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</row>
    <row r="400" spans="1:9" x14ac:dyDescent="0.35">
      <c r="A400" t="s">
        <v>0</v>
      </c>
      <c r="B400" t="s">
        <v>1518</v>
      </c>
      <c r="C400" t="s">
        <v>1354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</row>
    <row r="401" spans="1:9" x14ac:dyDescent="0.35">
      <c r="A401" t="s">
        <v>0</v>
      </c>
      <c r="B401" t="s">
        <v>1519</v>
      </c>
      <c r="C401" t="s">
        <v>1356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</row>
    <row r="402" spans="1:9" x14ac:dyDescent="0.35">
      <c r="A402" t="s">
        <v>0</v>
      </c>
      <c r="B402" t="s">
        <v>1520</v>
      </c>
      <c r="C402" t="s">
        <v>1358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</row>
    <row r="403" spans="1:9" x14ac:dyDescent="0.35">
      <c r="A403" t="s">
        <v>0</v>
      </c>
      <c r="B403" t="s">
        <v>1521</v>
      </c>
      <c r="C403" t="s">
        <v>1360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</row>
    <row r="404" spans="1:9" x14ac:dyDescent="0.35">
      <c r="A404" t="s">
        <v>0</v>
      </c>
      <c r="B404" t="s">
        <v>1522</v>
      </c>
      <c r="C404" t="s">
        <v>1362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</row>
    <row r="405" spans="1:9" x14ac:dyDescent="0.35">
      <c r="A405" t="s">
        <v>0</v>
      </c>
      <c r="B405" t="s">
        <v>1523</v>
      </c>
      <c r="C405" t="s">
        <v>1356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</row>
    <row r="406" spans="1:9" x14ac:dyDescent="0.35">
      <c r="A406" t="s">
        <v>0</v>
      </c>
      <c r="B406" t="s">
        <v>1524</v>
      </c>
      <c r="C406" t="s">
        <v>1365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</row>
    <row r="407" spans="1:9" x14ac:dyDescent="0.35">
      <c r="A407" t="s">
        <v>0</v>
      </c>
      <c r="B407" t="s">
        <v>1525</v>
      </c>
      <c r="C407" t="s">
        <v>1526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</row>
    <row r="408" spans="1:9" x14ac:dyDescent="0.35">
      <c r="A408" t="s">
        <v>0</v>
      </c>
      <c r="B408" t="s">
        <v>1527</v>
      </c>
      <c r="C408" t="s">
        <v>1367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</row>
    <row r="409" spans="1:9" x14ac:dyDescent="0.35">
      <c r="A409" t="s">
        <v>0</v>
      </c>
      <c r="B409" t="s">
        <v>1528</v>
      </c>
      <c r="C409" t="s">
        <v>1369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</row>
    <row r="410" spans="1:9" x14ac:dyDescent="0.35">
      <c r="A410" t="s">
        <v>0</v>
      </c>
      <c r="B410" t="s">
        <v>1529</v>
      </c>
      <c r="C410" t="s">
        <v>1371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</row>
    <row r="411" spans="1:9" x14ac:dyDescent="0.35">
      <c r="A411" t="s">
        <v>0</v>
      </c>
      <c r="B411" t="s">
        <v>1530</v>
      </c>
      <c r="C411" t="s">
        <v>1373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</row>
    <row r="412" spans="1:9" x14ac:dyDescent="0.35">
      <c r="A412" t="s">
        <v>0</v>
      </c>
      <c r="B412" t="s">
        <v>1531</v>
      </c>
      <c r="C412" t="s">
        <v>1375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</row>
    <row r="413" spans="1:9" x14ac:dyDescent="0.35">
      <c r="A413" t="s">
        <v>0</v>
      </c>
      <c r="B413" t="s">
        <v>1532</v>
      </c>
      <c r="C413" t="s">
        <v>1377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</row>
    <row r="414" spans="1:9" x14ac:dyDescent="0.35">
      <c r="A414" t="s">
        <v>0</v>
      </c>
      <c r="B414" t="s">
        <v>1533</v>
      </c>
      <c r="C414" t="s">
        <v>1371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</row>
    <row r="415" spans="1:9" x14ac:dyDescent="0.35">
      <c r="A415" t="s">
        <v>0</v>
      </c>
      <c r="B415" t="s">
        <v>1534</v>
      </c>
      <c r="C415" t="s">
        <v>1380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</row>
    <row r="416" spans="1:9" x14ac:dyDescent="0.35">
      <c r="A416" t="s">
        <v>0</v>
      </c>
      <c r="B416" t="s">
        <v>1535</v>
      </c>
      <c r="C416" t="s">
        <v>1536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</row>
    <row r="417" spans="1:9" x14ac:dyDescent="0.35">
      <c r="A417" t="s">
        <v>0</v>
      </c>
      <c r="B417" t="s">
        <v>1537</v>
      </c>
      <c r="C417" t="s">
        <v>1382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</row>
    <row r="418" spans="1:9" x14ac:dyDescent="0.35">
      <c r="A418" t="s">
        <v>0</v>
      </c>
      <c r="B418" t="s">
        <v>1538</v>
      </c>
      <c r="C418" t="s">
        <v>1384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</row>
    <row r="419" spans="1:9" x14ac:dyDescent="0.35">
      <c r="A419" t="s">
        <v>0</v>
      </c>
      <c r="B419" t="s">
        <v>1539</v>
      </c>
      <c r="C419" t="s">
        <v>1386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</row>
    <row r="420" spans="1:9" x14ac:dyDescent="0.35">
      <c r="A420" t="s">
        <v>0</v>
      </c>
      <c r="B420" t="s">
        <v>1540</v>
      </c>
      <c r="C420" t="s">
        <v>1388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</row>
    <row r="421" spans="1:9" x14ac:dyDescent="0.35">
      <c r="A421" t="s">
        <v>0</v>
      </c>
      <c r="B421" t="s">
        <v>1541</v>
      </c>
      <c r="C421" t="s">
        <v>1390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</row>
    <row r="422" spans="1:9" x14ac:dyDescent="0.35">
      <c r="A422" t="s">
        <v>0</v>
      </c>
      <c r="B422" t="s">
        <v>1542</v>
      </c>
      <c r="C422" t="s">
        <v>1392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</row>
    <row r="423" spans="1:9" x14ac:dyDescent="0.35">
      <c r="A423" t="s">
        <v>0</v>
      </c>
      <c r="B423" t="s">
        <v>1543</v>
      </c>
      <c r="C423" t="s">
        <v>1394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</row>
    <row r="424" spans="1:9" x14ac:dyDescent="0.35">
      <c r="A424" t="s">
        <v>0</v>
      </c>
      <c r="B424" t="s">
        <v>1544</v>
      </c>
      <c r="C424" t="s">
        <v>1396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</row>
    <row r="425" spans="1:9" x14ac:dyDescent="0.35">
      <c r="A425" t="s">
        <v>0</v>
      </c>
      <c r="B425" t="s">
        <v>1545</v>
      </c>
      <c r="C425" t="s">
        <v>1546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</row>
    <row r="426" spans="1:9" x14ac:dyDescent="0.35">
      <c r="A426" t="s">
        <v>0</v>
      </c>
      <c r="B426" t="s">
        <v>1547</v>
      </c>
      <c r="C426" t="s">
        <v>1398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</row>
    <row r="427" spans="1:9" x14ac:dyDescent="0.35">
      <c r="A427" t="s">
        <v>0</v>
      </c>
      <c r="B427" t="s">
        <v>1548</v>
      </c>
      <c r="C427" t="s">
        <v>1400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</row>
    <row r="428" spans="1:9" x14ac:dyDescent="0.35">
      <c r="A428" t="s">
        <v>0</v>
      </c>
      <c r="B428" t="s">
        <v>1549</v>
      </c>
      <c r="C428" t="s">
        <v>1402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</row>
    <row r="429" spans="1:9" x14ac:dyDescent="0.35">
      <c r="A429" t="s">
        <v>0</v>
      </c>
      <c r="B429" t="s">
        <v>1550</v>
      </c>
      <c r="C429" t="s">
        <v>1404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</row>
    <row r="430" spans="1:9" x14ac:dyDescent="0.35">
      <c r="A430" t="s">
        <v>0</v>
      </c>
      <c r="B430" t="s">
        <v>1551</v>
      </c>
      <c r="C430" t="s">
        <v>1406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</row>
    <row r="431" spans="1:9" x14ac:dyDescent="0.35">
      <c r="A431" t="s">
        <v>0</v>
      </c>
      <c r="B431" t="s">
        <v>1552</v>
      </c>
      <c r="C431" t="s">
        <v>1408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</row>
    <row r="432" spans="1:9" x14ac:dyDescent="0.35">
      <c r="A432" t="s">
        <v>0</v>
      </c>
      <c r="B432" t="s">
        <v>1553</v>
      </c>
      <c r="C432" t="s">
        <v>1410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</row>
    <row r="433" spans="1:9" x14ac:dyDescent="0.35">
      <c r="A433" t="s">
        <v>0</v>
      </c>
      <c r="B433" t="s">
        <v>1554</v>
      </c>
      <c r="C433" t="s">
        <v>1412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</row>
    <row r="434" spans="1:9" x14ac:dyDescent="0.35">
      <c r="A434" t="s">
        <v>0</v>
      </c>
      <c r="B434" t="s">
        <v>1555</v>
      </c>
      <c r="C434" t="s">
        <v>1556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</row>
    <row r="435" spans="1:9" x14ac:dyDescent="0.35">
      <c r="A435" t="s">
        <v>0</v>
      </c>
      <c r="B435" t="s">
        <v>1557</v>
      </c>
      <c r="C435" t="s">
        <v>1414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</row>
    <row r="436" spans="1:9" x14ac:dyDescent="0.35">
      <c r="A436" t="s">
        <v>0</v>
      </c>
      <c r="B436" t="s">
        <v>1558</v>
      </c>
      <c r="C436" t="s">
        <v>1416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</row>
    <row r="437" spans="1:9" x14ac:dyDescent="0.35">
      <c r="A437" t="s">
        <v>0</v>
      </c>
      <c r="B437" t="s">
        <v>1559</v>
      </c>
      <c r="C437" t="s">
        <v>1418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</row>
    <row r="438" spans="1:9" x14ac:dyDescent="0.35">
      <c r="A438" t="s">
        <v>0</v>
      </c>
      <c r="B438" t="s">
        <v>1560</v>
      </c>
      <c r="C438" t="s">
        <v>1420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</row>
    <row r="439" spans="1:9" x14ac:dyDescent="0.35">
      <c r="A439" t="s">
        <v>0</v>
      </c>
      <c r="B439" t="s">
        <v>1561</v>
      </c>
      <c r="C439" t="s">
        <v>1422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</row>
    <row r="440" spans="1:9" x14ac:dyDescent="0.35">
      <c r="A440" t="s">
        <v>0</v>
      </c>
      <c r="B440" t="s">
        <v>1562</v>
      </c>
      <c r="C440" t="s">
        <v>1424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</row>
    <row r="441" spans="1:9" x14ac:dyDescent="0.35">
      <c r="A441" t="s">
        <v>0</v>
      </c>
      <c r="B441" t="s">
        <v>1563</v>
      </c>
      <c r="C441" t="s">
        <v>1426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</row>
    <row r="442" spans="1:9" x14ac:dyDescent="0.35">
      <c r="A442" t="s">
        <v>0</v>
      </c>
      <c r="B442" t="s">
        <v>1564</v>
      </c>
      <c r="C442" t="s">
        <v>1428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</row>
    <row r="443" spans="1:9" x14ac:dyDescent="0.35">
      <c r="A443" t="s">
        <v>0</v>
      </c>
      <c r="B443" t="s">
        <v>1565</v>
      </c>
      <c r="C443" t="s">
        <v>1566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</row>
    <row r="444" spans="1:9" x14ac:dyDescent="0.35">
      <c r="A444" t="s">
        <v>0</v>
      </c>
      <c r="B444" t="s">
        <v>1567</v>
      </c>
      <c r="C444" t="s">
        <v>1430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</row>
    <row r="445" spans="1:9" x14ac:dyDescent="0.35">
      <c r="A445" t="s">
        <v>0</v>
      </c>
      <c r="B445" t="s">
        <v>1568</v>
      </c>
      <c r="C445" t="s">
        <v>1432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</row>
    <row r="446" spans="1:9" x14ac:dyDescent="0.35">
      <c r="A446" t="s">
        <v>0</v>
      </c>
      <c r="B446" t="s">
        <v>1569</v>
      </c>
      <c r="C446" t="s">
        <v>1434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</row>
    <row r="447" spans="1:9" x14ac:dyDescent="0.35">
      <c r="A447" t="s">
        <v>0</v>
      </c>
      <c r="B447" t="s">
        <v>1570</v>
      </c>
      <c r="C447" t="s">
        <v>1436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</row>
    <row r="448" spans="1:9" x14ac:dyDescent="0.35">
      <c r="A448" t="s">
        <v>0</v>
      </c>
      <c r="B448" t="s">
        <v>1571</v>
      </c>
      <c r="C448" t="s">
        <v>1438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</row>
    <row r="449" spans="1:9" x14ac:dyDescent="0.35">
      <c r="A449" t="s">
        <v>0</v>
      </c>
      <c r="B449" t="s">
        <v>1572</v>
      </c>
      <c r="C449" t="s">
        <v>1440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</row>
    <row r="450" spans="1:9" x14ac:dyDescent="0.35">
      <c r="A450" t="s">
        <v>0</v>
      </c>
      <c r="B450" t="s">
        <v>1573</v>
      </c>
      <c r="C450" t="s">
        <v>1442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</row>
    <row r="451" spans="1:9" x14ac:dyDescent="0.35">
      <c r="A451" t="s">
        <v>0</v>
      </c>
      <c r="B451" t="s">
        <v>1574</v>
      </c>
      <c r="C451" t="s">
        <v>1444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</row>
    <row r="452" spans="1:9" x14ac:dyDescent="0.35">
      <c r="A452" t="s">
        <v>0</v>
      </c>
      <c r="B452" t="s">
        <v>1575</v>
      </c>
      <c r="C452" t="s">
        <v>1576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</row>
    <row r="453" spans="1:9" x14ac:dyDescent="0.35">
      <c r="A453" t="s">
        <v>0</v>
      </c>
      <c r="B453" t="s">
        <v>1577</v>
      </c>
      <c r="C453" t="s">
        <v>1446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</row>
    <row r="454" spans="1:9" x14ac:dyDescent="0.35">
      <c r="A454" t="s">
        <v>0</v>
      </c>
      <c r="B454" t="s">
        <v>1578</v>
      </c>
      <c r="C454" t="s">
        <v>1448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</row>
    <row r="455" spans="1:9" x14ac:dyDescent="0.35">
      <c r="A455" t="s">
        <v>0</v>
      </c>
      <c r="B455" t="s">
        <v>1579</v>
      </c>
      <c r="C455" t="s">
        <v>1450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</row>
    <row r="456" spans="1:9" x14ac:dyDescent="0.35">
      <c r="A456" t="s">
        <v>0</v>
      </c>
      <c r="B456" t="s">
        <v>1580</v>
      </c>
      <c r="C456" t="s">
        <v>1452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</row>
    <row r="457" spans="1:9" x14ac:dyDescent="0.35">
      <c r="A457" t="s">
        <v>0</v>
      </c>
      <c r="B457" t="s">
        <v>1581</v>
      </c>
      <c r="C457" t="s">
        <v>1454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</row>
    <row r="458" spans="1:9" x14ac:dyDescent="0.35">
      <c r="A458" t="s">
        <v>0</v>
      </c>
      <c r="B458" t="s">
        <v>1582</v>
      </c>
      <c r="C458" t="s">
        <v>1456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</row>
    <row r="459" spans="1:9" x14ac:dyDescent="0.35">
      <c r="A459" t="s">
        <v>0</v>
      </c>
      <c r="B459" t="s">
        <v>1583</v>
      </c>
      <c r="C459" t="s">
        <v>1458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</row>
    <row r="460" spans="1:9" x14ac:dyDescent="0.35">
      <c r="A460" t="s">
        <v>0</v>
      </c>
      <c r="B460" t="s">
        <v>1584</v>
      </c>
      <c r="C460" t="s">
        <v>1460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</row>
    <row r="461" spans="1:9" x14ac:dyDescent="0.35">
      <c r="A461" t="s">
        <v>0</v>
      </c>
      <c r="B461" t="s">
        <v>1585</v>
      </c>
      <c r="C461" t="s">
        <v>1586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</row>
    <row r="462" spans="1:9" x14ac:dyDescent="0.35">
      <c r="A462" t="s">
        <v>0</v>
      </c>
      <c r="B462" t="s">
        <v>1587</v>
      </c>
      <c r="C462" t="s">
        <v>1588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</row>
    <row r="463" spans="1:9" x14ac:dyDescent="0.35">
      <c r="A463" t="s">
        <v>0</v>
      </c>
      <c r="B463" t="s">
        <v>1589</v>
      </c>
      <c r="C463" t="s">
        <v>1590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</row>
    <row r="464" spans="1:9" x14ac:dyDescent="0.35">
      <c r="A464" t="s">
        <v>0</v>
      </c>
      <c r="B464" t="s">
        <v>1591</v>
      </c>
      <c r="C464" t="s">
        <v>1592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</row>
    <row r="465" spans="1:9" x14ac:dyDescent="0.35">
      <c r="A465" t="s">
        <v>0</v>
      </c>
      <c r="B465" t="s">
        <v>1593</v>
      </c>
      <c r="C465" t="s">
        <v>1594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</row>
    <row r="466" spans="1:9" x14ac:dyDescent="0.35">
      <c r="A466" t="s">
        <v>0</v>
      </c>
      <c r="B466" t="s">
        <v>1595</v>
      </c>
      <c r="C466" t="s">
        <v>1596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</row>
    <row r="467" spans="1:9" x14ac:dyDescent="0.35">
      <c r="A467" t="s">
        <v>0</v>
      </c>
      <c r="B467" t="s">
        <v>1597</v>
      </c>
      <c r="C467" t="s">
        <v>1598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</row>
    <row r="468" spans="1:9" x14ac:dyDescent="0.35">
      <c r="A468" t="s">
        <v>0</v>
      </c>
      <c r="B468" t="s">
        <v>1599</v>
      </c>
      <c r="C468" t="s">
        <v>1600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</row>
    <row r="469" spans="1:9" x14ac:dyDescent="0.35">
      <c r="A469" t="s">
        <v>0</v>
      </c>
      <c r="B469" t="s">
        <v>1601</v>
      </c>
      <c r="C469" t="s">
        <v>1602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</row>
    <row r="470" spans="1:9" x14ac:dyDescent="0.35">
      <c r="A470" t="s">
        <v>0</v>
      </c>
      <c r="B470" t="s">
        <v>1603</v>
      </c>
      <c r="C470" t="s">
        <v>1604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</row>
    <row r="471" spans="1:9" x14ac:dyDescent="0.35">
      <c r="A471" t="s">
        <v>0</v>
      </c>
      <c r="B471" t="s">
        <v>1605</v>
      </c>
      <c r="C471" t="s">
        <v>1606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</row>
    <row r="472" spans="1:9" x14ac:dyDescent="0.35">
      <c r="A472" t="s">
        <v>0</v>
      </c>
      <c r="B472" t="s">
        <v>1607</v>
      </c>
      <c r="C472" t="s">
        <v>1608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</row>
    <row r="473" spans="1:9" x14ac:dyDescent="0.35">
      <c r="A473" t="s">
        <v>0</v>
      </c>
      <c r="B473" t="s">
        <v>1609</v>
      </c>
      <c r="C473" t="s">
        <v>1610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</row>
    <row r="474" spans="1:9" x14ac:dyDescent="0.35">
      <c r="A474" t="s">
        <v>0</v>
      </c>
      <c r="B474" t="s">
        <v>1611</v>
      </c>
      <c r="C474" t="s">
        <v>1612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</row>
    <row r="475" spans="1:9" x14ac:dyDescent="0.35">
      <c r="A475" t="s">
        <v>0</v>
      </c>
      <c r="B475" t="s">
        <v>1613</v>
      </c>
      <c r="C475" t="s">
        <v>1614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</row>
    <row r="476" spans="1:9" x14ac:dyDescent="0.35">
      <c r="A476" t="s">
        <v>0</v>
      </c>
      <c r="B476" t="s">
        <v>1615</v>
      </c>
      <c r="C476" t="s">
        <v>1614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</row>
    <row r="477" spans="1:9" x14ac:dyDescent="0.35">
      <c r="A477" t="s">
        <v>0</v>
      </c>
      <c r="B477" t="s">
        <v>1616</v>
      </c>
      <c r="C477" t="s">
        <v>1617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</row>
    <row r="478" spans="1:9" x14ac:dyDescent="0.35">
      <c r="A478" t="s">
        <v>0</v>
      </c>
      <c r="B478" t="s">
        <v>1618</v>
      </c>
      <c r="C478" t="s">
        <v>1619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</row>
    <row r="479" spans="1:9" x14ac:dyDescent="0.35">
      <c r="A479" t="s">
        <v>0</v>
      </c>
      <c r="B479" t="s">
        <v>1620</v>
      </c>
      <c r="C479" t="s">
        <v>1621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</row>
    <row r="480" spans="1:9" x14ac:dyDescent="0.35">
      <c r="A480" t="s">
        <v>0</v>
      </c>
      <c r="B480" t="s">
        <v>1622</v>
      </c>
      <c r="C480" t="s">
        <v>1623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</row>
    <row r="481" spans="1:9" x14ac:dyDescent="0.35">
      <c r="A481" t="s">
        <v>0</v>
      </c>
      <c r="B481" t="s">
        <v>1624</v>
      </c>
      <c r="C481" t="s">
        <v>1625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</row>
    <row r="482" spans="1:9" x14ac:dyDescent="0.35">
      <c r="A482" t="s">
        <v>0</v>
      </c>
      <c r="B482" t="s">
        <v>1626</v>
      </c>
      <c r="C482" t="s">
        <v>1627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</row>
    <row r="483" spans="1:9" x14ac:dyDescent="0.35">
      <c r="A483" t="s">
        <v>0</v>
      </c>
      <c r="B483" t="s">
        <v>1628</v>
      </c>
      <c r="C483" t="s">
        <v>1629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</row>
    <row r="484" spans="1:9" x14ac:dyDescent="0.35">
      <c r="A484" t="s">
        <v>0</v>
      </c>
      <c r="B484" t="s">
        <v>1630</v>
      </c>
      <c r="C484" t="s">
        <v>1629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</row>
    <row r="485" spans="1:9" x14ac:dyDescent="0.35">
      <c r="A485" t="s">
        <v>0</v>
      </c>
      <c r="B485" t="s">
        <v>1631</v>
      </c>
      <c r="C485" t="s">
        <v>1632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</row>
    <row r="486" spans="1:9" x14ac:dyDescent="0.35">
      <c r="A486" t="s">
        <v>0</v>
      </c>
      <c r="B486" t="s">
        <v>1633</v>
      </c>
      <c r="C486" t="s">
        <v>1634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</row>
    <row r="487" spans="1:9" x14ac:dyDescent="0.35">
      <c r="A487" t="s">
        <v>0</v>
      </c>
      <c r="B487" t="s">
        <v>1635</v>
      </c>
      <c r="C487" t="s">
        <v>1636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</row>
    <row r="488" spans="1:9" x14ac:dyDescent="0.35">
      <c r="A488" t="s">
        <v>0</v>
      </c>
      <c r="B488" t="s">
        <v>1637</v>
      </c>
      <c r="C488" t="s">
        <v>1638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</row>
    <row r="489" spans="1:9" x14ac:dyDescent="0.35">
      <c r="A489" t="s">
        <v>0</v>
      </c>
      <c r="B489" t="s">
        <v>1639</v>
      </c>
      <c r="C489" t="s">
        <v>1640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</row>
    <row r="490" spans="1:9" x14ac:dyDescent="0.35">
      <c r="A490" t="s">
        <v>0</v>
      </c>
      <c r="B490" t="s">
        <v>1641</v>
      </c>
      <c r="C490" t="s">
        <v>1642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</row>
    <row r="491" spans="1:9" x14ac:dyDescent="0.35">
      <c r="A491" t="s">
        <v>0</v>
      </c>
      <c r="B491" t="s">
        <v>1643</v>
      </c>
      <c r="C491" t="s">
        <v>1638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</row>
    <row r="492" spans="1:9" x14ac:dyDescent="0.35">
      <c r="A492" t="s">
        <v>0</v>
      </c>
      <c r="B492" t="s">
        <v>1644</v>
      </c>
      <c r="C492" t="s">
        <v>1638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</row>
    <row r="493" spans="1:9" x14ac:dyDescent="0.35">
      <c r="A493" t="s">
        <v>0</v>
      </c>
      <c r="B493" t="s">
        <v>1645</v>
      </c>
      <c r="C493" t="s">
        <v>1646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</row>
    <row r="494" spans="1:9" x14ac:dyDescent="0.35">
      <c r="A494" t="s">
        <v>0</v>
      </c>
      <c r="B494" t="s">
        <v>1647</v>
      </c>
      <c r="C494" t="s">
        <v>1648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</row>
    <row r="495" spans="1:9" x14ac:dyDescent="0.35">
      <c r="A495" t="s">
        <v>0</v>
      </c>
      <c r="B495" t="s">
        <v>1649</v>
      </c>
      <c r="C495" t="s">
        <v>1650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</row>
    <row r="496" spans="1:9" x14ac:dyDescent="0.35">
      <c r="A496" t="s">
        <v>0</v>
      </c>
      <c r="B496" t="s">
        <v>1651</v>
      </c>
      <c r="C496" t="s">
        <v>1652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</row>
    <row r="497" spans="1:9" x14ac:dyDescent="0.35">
      <c r="A497" t="s">
        <v>0</v>
      </c>
      <c r="B497" t="s">
        <v>1653</v>
      </c>
      <c r="C497" t="s">
        <v>1654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</row>
    <row r="498" spans="1:9" x14ac:dyDescent="0.35">
      <c r="A498" t="s">
        <v>0</v>
      </c>
      <c r="B498" t="s">
        <v>1655</v>
      </c>
      <c r="C498" t="s">
        <v>1656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</row>
    <row r="499" spans="1:9" x14ac:dyDescent="0.35">
      <c r="A499" t="s">
        <v>0</v>
      </c>
      <c r="B499" t="s">
        <v>1657</v>
      </c>
      <c r="C499" t="s">
        <v>1658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</row>
    <row r="500" spans="1:9" x14ac:dyDescent="0.35">
      <c r="A500" t="s">
        <v>0</v>
      </c>
      <c r="B500" t="s">
        <v>1659</v>
      </c>
      <c r="C500" t="s">
        <v>1658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</row>
    <row r="501" spans="1:9" x14ac:dyDescent="0.35">
      <c r="A501" t="s">
        <v>0</v>
      </c>
      <c r="B501" t="s">
        <v>1660</v>
      </c>
      <c r="C501" t="s">
        <v>1661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</row>
    <row r="502" spans="1:9" x14ac:dyDescent="0.35">
      <c r="A502" t="s">
        <v>0</v>
      </c>
      <c r="B502" t="s">
        <v>1662</v>
      </c>
      <c r="C502" t="s">
        <v>1663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</row>
    <row r="503" spans="1:9" x14ac:dyDescent="0.35">
      <c r="A503" t="s">
        <v>0</v>
      </c>
      <c r="B503" t="s">
        <v>1664</v>
      </c>
      <c r="C503" t="s">
        <v>1665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</row>
    <row r="504" spans="1:9" x14ac:dyDescent="0.35">
      <c r="A504" t="s">
        <v>0</v>
      </c>
      <c r="B504" t="s">
        <v>1666</v>
      </c>
      <c r="C504" t="s">
        <v>1667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</row>
    <row r="505" spans="1:9" x14ac:dyDescent="0.35">
      <c r="A505" t="s">
        <v>0</v>
      </c>
      <c r="B505" t="s">
        <v>1668</v>
      </c>
      <c r="C505" t="s">
        <v>1669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</row>
    <row r="506" spans="1:9" x14ac:dyDescent="0.35">
      <c r="A506" t="s">
        <v>0</v>
      </c>
      <c r="B506" t="s">
        <v>1670</v>
      </c>
      <c r="C506" t="s">
        <v>1671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</row>
    <row r="507" spans="1:9" x14ac:dyDescent="0.35">
      <c r="A507" t="s">
        <v>0</v>
      </c>
      <c r="B507" t="s">
        <v>1672</v>
      </c>
      <c r="C507" t="s">
        <v>1673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</row>
    <row r="508" spans="1:9" x14ac:dyDescent="0.35">
      <c r="A508" t="s">
        <v>0</v>
      </c>
      <c r="B508" t="s">
        <v>1674</v>
      </c>
      <c r="C508" t="s">
        <v>1675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</row>
    <row r="509" spans="1:9" x14ac:dyDescent="0.35">
      <c r="A509" t="s">
        <v>0</v>
      </c>
      <c r="B509" t="s">
        <v>1676</v>
      </c>
      <c r="C509" t="s">
        <v>1677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</row>
    <row r="510" spans="1:9" x14ac:dyDescent="0.35">
      <c r="A510" t="s">
        <v>0</v>
      </c>
      <c r="B510" t="s">
        <v>1678</v>
      </c>
      <c r="C510" t="s">
        <v>1679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</row>
    <row r="511" spans="1:9" x14ac:dyDescent="0.35">
      <c r="A511" t="s">
        <v>0</v>
      </c>
      <c r="B511" t="s">
        <v>1680</v>
      </c>
      <c r="C511" t="s">
        <v>1679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</row>
    <row r="512" spans="1:9" x14ac:dyDescent="0.35">
      <c r="A512" t="s">
        <v>0</v>
      </c>
      <c r="B512" t="s">
        <v>1681</v>
      </c>
      <c r="C512" t="s">
        <v>1679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</row>
    <row r="513" spans="1:9" x14ac:dyDescent="0.35">
      <c r="A513" t="s">
        <v>0</v>
      </c>
      <c r="B513" t="s">
        <v>1682</v>
      </c>
      <c r="C513" t="s">
        <v>1679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</row>
    <row r="514" spans="1:9" x14ac:dyDescent="0.35">
      <c r="A514" t="s">
        <v>0</v>
      </c>
      <c r="B514" t="s">
        <v>1683</v>
      </c>
      <c r="C514" t="s">
        <v>1679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</row>
    <row r="515" spans="1:9" x14ac:dyDescent="0.35">
      <c r="A515" t="s">
        <v>0</v>
      </c>
      <c r="B515" t="s">
        <v>1684</v>
      </c>
      <c r="C515" t="s">
        <v>1679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</row>
    <row r="516" spans="1:9" x14ac:dyDescent="0.35">
      <c r="A516" t="s">
        <v>0</v>
      </c>
      <c r="B516" t="s">
        <v>1685</v>
      </c>
      <c r="C516" t="s">
        <v>1679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</row>
    <row r="517" spans="1:9" x14ac:dyDescent="0.35">
      <c r="A517" t="s">
        <v>0</v>
      </c>
      <c r="B517" t="s">
        <v>1686</v>
      </c>
      <c r="C517" t="s">
        <v>1679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</row>
    <row r="518" spans="1:9" x14ac:dyDescent="0.35">
      <c r="A518" t="s">
        <v>0</v>
      </c>
      <c r="B518" t="s">
        <v>1687</v>
      </c>
      <c r="C518" t="s">
        <v>1663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</row>
    <row r="519" spans="1:9" x14ac:dyDescent="0.35">
      <c r="A519" t="s">
        <v>0</v>
      </c>
      <c r="B519" t="s">
        <v>1688</v>
      </c>
      <c r="C519" t="s">
        <v>1665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</row>
    <row r="520" spans="1:9" x14ac:dyDescent="0.35">
      <c r="A520" t="s">
        <v>0</v>
      </c>
      <c r="B520" t="s">
        <v>1689</v>
      </c>
      <c r="C520" t="s">
        <v>1667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</row>
    <row r="521" spans="1:9" x14ac:dyDescent="0.35">
      <c r="A521" t="s">
        <v>0</v>
      </c>
      <c r="B521" t="s">
        <v>1690</v>
      </c>
      <c r="C521" t="s">
        <v>1669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</row>
    <row r="522" spans="1:9" x14ac:dyDescent="0.35">
      <c r="A522" t="s">
        <v>0</v>
      </c>
      <c r="B522" t="s">
        <v>1691</v>
      </c>
      <c r="C522" t="s">
        <v>1671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</row>
    <row r="523" spans="1:9" x14ac:dyDescent="0.35">
      <c r="A523" t="s">
        <v>0</v>
      </c>
      <c r="B523" t="s">
        <v>1692</v>
      </c>
      <c r="C523" t="s">
        <v>1693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</row>
    <row r="524" spans="1:9" x14ac:dyDescent="0.35">
      <c r="A524" t="s">
        <v>0</v>
      </c>
      <c r="B524" t="s">
        <v>1694</v>
      </c>
      <c r="C524" t="s">
        <v>1695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</row>
    <row r="525" spans="1:9" x14ac:dyDescent="0.35">
      <c r="A525" t="s">
        <v>0</v>
      </c>
      <c r="B525" t="s">
        <v>1696</v>
      </c>
      <c r="C525" t="s">
        <v>1677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</row>
    <row r="526" spans="1:9" x14ac:dyDescent="0.35">
      <c r="A526" t="s">
        <v>0</v>
      </c>
      <c r="B526" t="s">
        <v>1697</v>
      </c>
      <c r="C526" t="s">
        <v>1604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</row>
    <row r="527" spans="1:9" x14ac:dyDescent="0.35">
      <c r="A527" t="s">
        <v>0</v>
      </c>
      <c r="B527" t="s">
        <v>1698</v>
      </c>
      <c r="C527" t="s">
        <v>1606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</row>
    <row r="528" spans="1:9" x14ac:dyDescent="0.35">
      <c r="A528" t="s">
        <v>0</v>
      </c>
      <c r="B528" t="s">
        <v>1699</v>
      </c>
      <c r="C528" t="s">
        <v>1608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</row>
    <row r="529" spans="1:9" x14ac:dyDescent="0.35">
      <c r="A529" t="s">
        <v>0</v>
      </c>
      <c r="B529" t="s">
        <v>1700</v>
      </c>
      <c r="C529" t="s">
        <v>1610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</row>
    <row r="530" spans="1:9" x14ac:dyDescent="0.35">
      <c r="A530" t="s">
        <v>0</v>
      </c>
      <c r="B530" t="s">
        <v>1701</v>
      </c>
      <c r="C530" t="s">
        <v>1612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</row>
    <row r="531" spans="1:9" x14ac:dyDescent="0.35">
      <c r="A531" t="s">
        <v>0</v>
      </c>
      <c r="B531" t="s">
        <v>1702</v>
      </c>
      <c r="C531" t="s">
        <v>1703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</row>
    <row r="532" spans="1:9" x14ac:dyDescent="0.35">
      <c r="A532" t="s">
        <v>0</v>
      </c>
      <c r="B532" t="s">
        <v>1704</v>
      </c>
      <c r="C532" t="s">
        <v>1703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</row>
    <row r="533" spans="1:9" x14ac:dyDescent="0.35">
      <c r="A533" t="s">
        <v>0</v>
      </c>
      <c r="B533" t="s">
        <v>1705</v>
      </c>
      <c r="C533" t="s">
        <v>1617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</row>
    <row r="534" spans="1:9" x14ac:dyDescent="0.35">
      <c r="A534" t="s">
        <v>0</v>
      </c>
      <c r="B534" t="s">
        <v>1706</v>
      </c>
      <c r="C534" t="s">
        <v>1619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</row>
    <row r="535" spans="1:9" x14ac:dyDescent="0.35">
      <c r="A535" t="s">
        <v>0</v>
      </c>
      <c r="B535" t="s">
        <v>1707</v>
      </c>
      <c r="C535" t="s">
        <v>1621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</row>
    <row r="536" spans="1:9" x14ac:dyDescent="0.35">
      <c r="A536" t="s">
        <v>0</v>
      </c>
      <c r="B536" t="s">
        <v>1708</v>
      </c>
      <c r="C536" t="s">
        <v>1623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</row>
    <row r="537" spans="1:9" x14ac:dyDescent="0.35">
      <c r="A537" t="s">
        <v>0</v>
      </c>
      <c r="B537" t="s">
        <v>1709</v>
      </c>
      <c r="C537" t="s">
        <v>1625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</row>
    <row r="538" spans="1:9" x14ac:dyDescent="0.35">
      <c r="A538" t="s">
        <v>0</v>
      </c>
      <c r="B538" t="s">
        <v>1710</v>
      </c>
      <c r="C538" t="s">
        <v>1627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</row>
    <row r="539" spans="1:9" x14ac:dyDescent="0.35">
      <c r="A539" t="s">
        <v>0</v>
      </c>
      <c r="B539" t="s">
        <v>1711</v>
      </c>
      <c r="C539" t="s">
        <v>1712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</row>
    <row r="540" spans="1:9" x14ac:dyDescent="0.35">
      <c r="A540" t="s">
        <v>0</v>
      </c>
      <c r="B540" t="s">
        <v>1713</v>
      </c>
      <c r="C540" t="s">
        <v>1712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</row>
    <row r="541" spans="1:9" x14ac:dyDescent="0.35">
      <c r="A541" t="s">
        <v>0</v>
      </c>
      <c r="B541" t="s">
        <v>1714</v>
      </c>
      <c r="C541" t="s">
        <v>1632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</row>
    <row r="542" spans="1:9" x14ac:dyDescent="0.35">
      <c r="A542" t="s">
        <v>0</v>
      </c>
      <c r="B542" t="s">
        <v>1715</v>
      </c>
      <c r="C542" t="s">
        <v>1716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</row>
    <row r="543" spans="1:9" x14ac:dyDescent="0.35">
      <c r="A543" t="s">
        <v>0</v>
      </c>
      <c r="B543" t="s">
        <v>1717</v>
      </c>
      <c r="C543" t="s">
        <v>1718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</row>
    <row r="544" spans="1:9" x14ac:dyDescent="0.35">
      <c r="A544" t="s">
        <v>0</v>
      </c>
      <c r="B544" t="s">
        <v>1719</v>
      </c>
      <c r="C544" t="s">
        <v>1720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</row>
    <row r="545" spans="1:9" x14ac:dyDescent="0.35">
      <c r="A545" t="s">
        <v>0</v>
      </c>
      <c r="B545" t="s">
        <v>1721</v>
      </c>
      <c r="C545" t="s">
        <v>1722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</row>
    <row r="546" spans="1:9" x14ac:dyDescent="0.35">
      <c r="A546" t="s">
        <v>0</v>
      </c>
      <c r="B546" t="s">
        <v>1723</v>
      </c>
      <c r="C546" t="s">
        <v>1724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</row>
    <row r="547" spans="1:9" x14ac:dyDescent="0.35">
      <c r="A547" t="s">
        <v>0</v>
      </c>
      <c r="B547" t="s">
        <v>1725</v>
      </c>
      <c r="C547" t="s">
        <v>1720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</row>
    <row r="548" spans="1:9" x14ac:dyDescent="0.35">
      <c r="A548" t="s">
        <v>0</v>
      </c>
      <c r="B548" t="s">
        <v>1726</v>
      </c>
      <c r="C548" t="s">
        <v>1720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</row>
    <row r="549" spans="1:9" x14ac:dyDescent="0.35">
      <c r="A549" t="s">
        <v>0</v>
      </c>
      <c r="B549" t="s">
        <v>1727</v>
      </c>
      <c r="C549" t="s">
        <v>1728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</row>
    <row r="550" spans="1:9" x14ac:dyDescent="0.35">
      <c r="A550" t="s">
        <v>0</v>
      </c>
      <c r="B550" t="s">
        <v>1729</v>
      </c>
      <c r="C550" t="s">
        <v>1648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</row>
    <row r="551" spans="1:9" x14ac:dyDescent="0.35">
      <c r="A551" t="s">
        <v>0</v>
      </c>
      <c r="B551" t="s">
        <v>1730</v>
      </c>
      <c r="C551" t="s">
        <v>1650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</row>
    <row r="552" spans="1:9" x14ac:dyDescent="0.35">
      <c r="A552" t="s">
        <v>0</v>
      </c>
      <c r="B552" t="s">
        <v>1731</v>
      </c>
      <c r="C552" t="s">
        <v>1652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</row>
    <row r="553" spans="1:9" x14ac:dyDescent="0.35">
      <c r="A553" t="s">
        <v>0</v>
      </c>
      <c r="B553" t="s">
        <v>1732</v>
      </c>
      <c r="C553" t="s">
        <v>1654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</row>
    <row r="554" spans="1:9" x14ac:dyDescent="0.35">
      <c r="A554" t="s">
        <v>0</v>
      </c>
      <c r="B554" t="s">
        <v>1733</v>
      </c>
      <c r="C554" t="s">
        <v>1656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</row>
    <row r="555" spans="1:9" x14ac:dyDescent="0.35">
      <c r="A555" t="s">
        <v>0</v>
      </c>
      <c r="B555" t="s">
        <v>1734</v>
      </c>
      <c r="C555" t="s">
        <v>1735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</row>
    <row r="556" spans="1:9" x14ac:dyDescent="0.35">
      <c r="A556" t="s">
        <v>0</v>
      </c>
      <c r="B556" t="s">
        <v>1736</v>
      </c>
      <c r="C556" t="s">
        <v>1735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</row>
    <row r="557" spans="1:9" x14ac:dyDescent="0.35">
      <c r="A557" t="s">
        <v>0</v>
      </c>
      <c r="B557" t="s">
        <v>1737</v>
      </c>
      <c r="C557" t="s">
        <v>1661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</row>
    <row r="558" spans="1:9" x14ac:dyDescent="0.35">
      <c r="A558" t="s">
        <v>0</v>
      </c>
      <c r="B558" t="s">
        <v>1738</v>
      </c>
      <c r="C558" t="s">
        <v>1739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</row>
    <row r="559" spans="1:9" x14ac:dyDescent="0.35">
      <c r="A559" t="s">
        <v>0</v>
      </c>
      <c r="B559" t="s">
        <v>1740</v>
      </c>
      <c r="C559" t="s">
        <v>1741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</row>
    <row r="560" spans="1:9" x14ac:dyDescent="0.35">
      <c r="A560" t="s">
        <v>0</v>
      </c>
      <c r="B560" t="s">
        <v>1742</v>
      </c>
      <c r="C560" t="s">
        <v>1743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</row>
    <row r="561" spans="1:9" x14ac:dyDescent="0.35">
      <c r="A561" t="s">
        <v>0</v>
      </c>
      <c r="B561" t="s">
        <v>1744</v>
      </c>
      <c r="C561" t="s">
        <v>1745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</row>
    <row r="562" spans="1:9" x14ac:dyDescent="0.35">
      <c r="A562" t="s">
        <v>0</v>
      </c>
      <c r="B562" t="s">
        <v>1746</v>
      </c>
      <c r="C562" t="s">
        <v>1747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</row>
    <row r="563" spans="1:9" x14ac:dyDescent="0.35">
      <c r="A563" t="s">
        <v>0</v>
      </c>
      <c r="B563" t="s">
        <v>1748</v>
      </c>
      <c r="C563" t="s">
        <v>1749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</row>
    <row r="564" spans="1:9" x14ac:dyDescent="0.35">
      <c r="A564" t="s">
        <v>0</v>
      </c>
      <c r="B564" t="s">
        <v>1750</v>
      </c>
      <c r="C564" t="s">
        <v>1751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</row>
    <row r="565" spans="1:9" x14ac:dyDescent="0.35">
      <c r="A565" t="s">
        <v>0</v>
      </c>
      <c r="B565" t="s">
        <v>1752</v>
      </c>
      <c r="C565" t="s">
        <v>1753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</row>
    <row r="566" spans="1:9" x14ac:dyDescent="0.35">
      <c r="A566" t="s">
        <v>0</v>
      </c>
      <c r="B566" t="s">
        <v>1754</v>
      </c>
      <c r="C566" t="s">
        <v>1755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</row>
    <row r="567" spans="1:9" x14ac:dyDescent="0.35">
      <c r="A567" t="s">
        <v>0</v>
      </c>
      <c r="B567" t="s">
        <v>1756</v>
      </c>
      <c r="C567" t="s">
        <v>1757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</row>
    <row r="568" spans="1:9" x14ac:dyDescent="0.35">
      <c r="A568" t="s">
        <v>0</v>
      </c>
      <c r="B568" t="s">
        <v>1758</v>
      </c>
      <c r="C568" t="s">
        <v>1759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</row>
    <row r="569" spans="1:9" x14ac:dyDescent="0.35">
      <c r="A569" t="s">
        <v>0</v>
      </c>
      <c r="B569" t="s">
        <v>1760</v>
      </c>
      <c r="C569" t="s">
        <v>1761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</row>
    <row r="570" spans="1:9" x14ac:dyDescent="0.35">
      <c r="A570" t="s">
        <v>0</v>
      </c>
      <c r="B570" t="s">
        <v>1762</v>
      </c>
      <c r="C570" t="s">
        <v>1763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</row>
    <row r="571" spans="1:9" x14ac:dyDescent="0.35">
      <c r="A571" t="s">
        <v>0</v>
      </c>
      <c r="B571" t="s">
        <v>1764</v>
      </c>
      <c r="C571" t="s">
        <v>1765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</row>
    <row r="572" spans="1:9" x14ac:dyDescent="0.35">
      <c r="A572" t="s">
        <v>0</v>
      </c>
      <c r="B572" t="s">
        <v>1766</v>
      </c>
      <c r="C572" t="s">
        <v>1767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</row>
    <row r="573" spans="1:9" x14ac:dyDescent="0.35">
      <c r="A573" t="s">
        <v>0</v>
      </c>
      <c r="B573" t="s">
        <v>1768</v>
      </c>
      <c r="C573" t="s">
        <v>1769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</row>
    <row r="574" spans="1:9" x14ac:dyDescent="0.35">
      <c r="A574" t="s">
        <v>0</v>
      </c>
      <c r="B574" t="s">
        <v>1770</v>
      </c>
      <c r="C574" t="s">
        <v>1771</v>
      </c>
      <c r="D574">
        <v>0</v>
      </c>
      <c r="E574">
        <v>0</v>
      </c>
      <c r="F574">
        <v>1286309.44</v>
      </c>
      <c r="G574">
        <v>-965500.01</v>
      </c>
      <c r="H574">
        <v>320809.43</v>
      </c>
      <c r="I574">
        <v>0</v>
      </c>
    </row>
    <row r="575" spans="1:9" x14ac:dyDescent="0.35">
      <c r="A575" t="s">
        <v>0</v>
      </c>
      <c r="B575" t="s">
        <v>1772</v>
      </c>
      <c r="C575" t="s">
        <v>1773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</row>
    <row r="576" spans="1:9" x14ac:dyDescent="0.35">
      <c r="A576" t="s">
        <v>0</v>
      </c>
      <c r="B576" t="s">
        <v>1774</v>
      </c>
      <c r="C576" t="s">
        <v>1775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</row>
    <row r="577" spans="1:9" x14ac:dyDescent="0.35">
      <c r="A577" t="s">
        <v>0</v>
      </c>
      <c r="B577" t="s">
        <v>1776</v>
      </c>
      <c r="C577" t="s">
        <v>1777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</row>
    <row r="578" spans="1:9" x14ac:dyDescent="0.35">
      <c r="A578" t="s">
        <v>0</v>
      </c>
      <c r="B578" t="s">
        <v>1778</v>
      </c>
      <c r="C578" t="s">
        <v>1779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</row>
    <row r="579" spans="1:9" x14ac:dyDescent="0.35">
      <c r="A579" t="s">
        <v>0</v>
      </c>
      <c r="B579" t="s">
        <v>1780</v>
      </c>
      <c r="C579" t="s">
        <v>1781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</row>
    <row r="580" spans="1:9" x14ac:dyDescent="0.35">
      <c r="A580" t="s">
        <v>0</v>
      </c>
      <c r="B580" t="s">
        <v>1782</v>
      </c>
      <c r="C580" t="s">
        <v>1783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</row>
    <row r="581" spans="1:9" x14ac:dyDescent="0.35">
      <c r="A581" t="s">
        <v>0</v>
      </c>
      <c r="B581" t="s">
        <v>1784</v>
      </c>
      <c r="C581" t="s">
        <v>1785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</row>
    <row r="582" spans="1:9" x14ac:dyDescent="0.35">
      <c r="A582" t="s">
        <v>0</v>
      </c>
      <c r="B582" t="s">
        <v>1786</v>
      </c>
      <c r="C582" t="s">
        <v>1787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</row>
    <row r="583" spans="1:9" x14ac:dyDescent="0.35">
      <c r="A583" t="s">
        <v>0</v>
      </c>
      <c r="B583" t="s">
        <v>1788</v>
      </c>
      <c r="C583" t="s">
        <v>1789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</row>
    <row r="584" spans="1:9" x14ac:dyDescent="0.35">
      <c r="A584" t="s">
        <v>0</v>
      </c>
      <c r="B584" t="s">
        <v>1790</v>
      </c>
      <c r="C584" t="s">
        <v>1791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</row>
    <row r="585" spans="1:9" x14ac:dyDescent="0.35">
      <c r="A585" t="s">
        <v>0</v>
      </c>
      <c r="B585" t="s">
        <v>1792</v>
      </c>
      <c r="C585" t="s">
        <v>1793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</row>
    <row r="586" spans="1:9" x14ac:dyDescent="0.35">
      <c r="A586" t="s">
        <v>0</v>
      </c>
      <c r="B586" t="s">
        <v>1794</v>
      </c>
      <c r="C586" t="s">
        <v>1795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</row>
    <row r="587" spans="1:9" x14ac:dyDescent="0.35">
      <c r="A587" t="s">
        <v>0</v>
      </c>
      <c r="B587" t="s">
        <v>1796</v>
      </c>
      <c r="C587" t="s">
        <v>1797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</row>
    <row r="588" spans="1:9" x14ac:dyDescent="0.35">
      <c r="A588" t="s">
        <v>0</v>
      </c>
      <c r="B588" t="s">
        <v>1798</v>
      </c>
      <c r="C588" t="s">
        <v>1799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</row>
    <row r="589" spans="1:9" x14ac:dyDescent="0.35">
      <c r="A589" t="s">
        <v>0</v>
      </c>
      <c r="B589" t="s">
        <v>1800</v>
      </c>
      <c r="C589" t="s">
        <v>1801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</row>
    <row r="590" spans="1:9" x14ac:dyDescent="0.35">
      <c r="A590" t="s">
        <v>0</v>
      </c>
      <c r="B590" t="s">
        <v>1802</v>
      </c>
      <c r="C590" t="s">
        <v>1803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</row>
    <row r="591" spans="1:9" x14ac:dyDescent="0.35">
      <c r="A591" t="s">
        <v>0</v>
      </c>
      <c r="B591" t="s">
        <v>1804</v>
      </c>
      <c r="C591" t="s">
        <v>1805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</row>
    <row r="592" spans="1:9" x14ac:dyDescent="0.35">
      <c r="A592" t="s">
        <v>0</v>
      </c>
      <c r="B592" t="s">
        <v>1806</v>
      </c>
      <c r="C592" t="s">
        <v>1807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</row>
    <row r="593" spans="1:9" x14ac:dyDescent="0.35">
      <c r="A593" t="s">
        <v>0</v>
      </c>
      <c r="B593" t="s">
        <v>1808</v>
      </c>
      <c r="C593" t="s">
        <v>1809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</row>
    <row r="594" spans="1:9" x14ac:dyDescent="0.35">
      <c r="A594" t="s">
        <v>0</v>
      </c>
      <c r="B594" t="s">
        <v>1810</v>
      </c>
      <c r="C594" t="s">
        <v>1809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</row>
    <row r="595" spans="1:9" x14ac:dyDescent="0.35">
      <c r="A595" t="s">
        <v>0</v>
      </c>
      <c r="B595" t="s">
        <v>1811</v>
      </c>
      <c r="C595" t="s">
        <v>1809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</row>
    <row r="596" spans="1:9" x14ac:dyDescent="0.35">
      <c r="A596" t="s">
        <v>0</v>
      </c>
      <c r="B596" t="s">
        <v>1812</v>
      </c>
      <c r="C596" t="s">
        <v>1813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</row>
    <row r="597" spans="1:9" x14ac:dyDescent="0.35">
      <c r="A597" t="s">
        <v>0</v>
      </c>
      <c r="B597" t="s">
        <v>1814</v>
      </c>
      <c r="C597" t="s">
        <v>1815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</row>
    <row r="598" spans="1:9" x14ac:dyDescent="0.35">
      <c r="A598" t="s">
        <v>0</v>
      </c>
      <c r="B598" t="s">
        <v>1816</v>
      </c>
      <c r="C598" t="s">
        <v>1817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</row>
    <row r="599" spans="1:9" x14ac:dyDescent="0.35">
      <c r="A599" t="s">
        <v>0</v>
      </c>
      <c r="B599" t="s">
        <v>1818</v>
      </c>
      <c r="C599" t="s">
        <v>1819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</row>
    <row r="600" spans="1:9" x14ac:dyDescent="0.35">
      <c r="A600" t="s">
        <v>0</v>
      </c>
      <c r="B600" t="s">
        <v>1820</v>
      </c>
      <c r="C600" t="s">
        <v>1821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</row>
    <row r="601" spans="1:9" x14ac:dyDescent="0.35">
      <c r="A601" t="s">
        <v>0</v>
      </c>
      <c r="B601" t="s">
        <v>1822</v>
      </c>
      <c r="C601" t="s">
        <v>1823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</row>
    <row r="602" spans="1:9" x14ac:dyDescent="0.35">
      <c r="A602" t="s">
        <v>0</v>
      </c>
      <c r="B602" t="s">
        <v>1824</v>
      </c>
      <c r="C602" t="s">
        <v>1825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</row>
    <row r="603" spans="1:9" x14ac:dyDescent="0.35">
      <c r="A603" t="s">
        <v>0</v>
      </c>
      <c r="B603" t="s">
        <v>1826</v>
      </c>
      <c r="C603" t="s">
        <v>1827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</row>
    <row r="604" spans="1:9" x14ac:dyDescent="0.35">
      <c r="A604" t="s">
        <v>0</v>
      </c>
      <c r="B604" t="s">
        <v>1828</v>
      </c>
      <c r="C604" t="s">
        <v>1212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</row>
    <row r="605" spans="1:9" x14ac:dyDescent="0.35">
      <c r="A605" t="s">
        <v>0</v>
      </c>
      <c r="B605" t="s">
        <v>1829</v>
      </c>
      <c r="C605" t="s">
        <v>1830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</row>
    <row r="606" spans="1:9" x14ac:dyDescent="0.35">
      <c r="A606" t="s">
        <v>0</v>
      </c>
      <c r="B606" t="s">
        <v>1831</v>
      </c>
      <c r="C606" t="s">
        <v>1832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</row>
    <row r="607" spans="1:9" x14ac:dyDescent="0.35">
      <c r="A607" t="s">
        <v>0</v>
      </c>
      <c r="B607" t="s">
        <v>1833</v>
      </c>
      <c r="C607" t="s">
        <v>1834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</row>
    <row r="608" spans="1:9" x14ac:dyDescent="0.35">
      <c r="A608" t="s">
        <v>0</v>
      </c>
      <c r="B608" t="s">
        <v>1835</v>
      </c>
      <c r="C608" t="s">
        <v>1836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</row>
    <row r="609" spans="1:9" x14ac:dyDescent="0.35">
      <c r="A609" t="s">
        <v>0</v>
      </c>
      <c r="B609" t="s">
        <v>1837</v>
      </c>
      <c r="C609" t="s">
        <v>1838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</row>
    <row r="610" spans="1:9" x14ac:dyDescent="0.35">
      <c r="A610" t="s">
        <v>0</v>
      </c>
      <c r="B610" t="s">
        <v>1839</v>
      </c>
      <c r="C610" t="s">
        <v>1840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</row>
    <row r="611" spans="1:9" x14ac:dyDescent="0.35">
      <c r="A611" t="s">
        <v>0</v>
      </c>
      <c r="B611" t="s">
        <v>1841</v>
      </c>
      <c r="C611" t="s">
        <v>1842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</row>
    <row r="612" spans="1:9" x14ac:dyDescent="0.35">
      <c r="A612" t="s">
        <v>0</v>
      </c>
      <c r="B612" t="s">
        <v>1843</v>
      </c>
      <c r="C612" t="s">
        <v>1844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</row>
    <row r="613" spans="1:9" x14ac:dyDescent="0.35">
      <c r="A613" t="s">
        <v>0</v>
      </c>
      <c r="B613" t="s">
        <v>1845</v>
      </c>
      <c r="C613" t="s">
        <v>1846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</row>
    <row r="614" spans="1:9" x14ac:dyDescent="0.35">
      <c r="A614" t="s">
        <v>0</v>
      </c>
      <c r="B614" t="s">
        <v>1847</v>
      </c>
      <c r="C614" t="s">
        <v>1848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</row>
    <row r="615" spans="1:9" x14ac:dyDescent="0.35">
      <c r="A615" t="s">
        <v>0</v>
      </c>
      <c r="B615" t="s">
        <v>1849</v>
      </c>
      <c r="C615" t="s">
        <v>1850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</row>
    <row r="616" spans="1:9" x14ac:dyDescent="0.35">
      <c r="A616" t="s">
        <v>0</v>
      </c>
      <c r="B616" t="s">
        <v>1851</v>
      </c>
      <c r="C616" t="s">
        <v>1852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</row>
    <row r="617" spans="1:9" x14ac:dyDescent="0.35">
      <c r="A617" t="s">
        <v>0</v>
      </c>
      <c r="B617" t="s">
        <v>1853</v>
      </c>
      <c r="C617" t="s">
        <v>1854</v>
      </c>
      <c r="D617">
        <v>0</v>
      </c>
      <c r="E617">
        <v>0</v>
      </c>
      <c r="F617">
        <v>5922730.25</v>
      </c>
      <c r="G617">
        <v>-5478002.0499999998</v>
      </c>
      <c r="H617">
        <v>444728.2</v>
      </c>
      <c r="I617">
        <v>0</v>
      </c>
    </row>
    <row r="618" spans="1:9" x14ac:dyDescent="0.35">
      <c r="A618" t="s">
        <v>0</v>
      </c>
      <c r="B618" t="s">
        <v>1855</v>
      </c>
      <c r="C618" t="s">
        <v>1856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</row>
    <row r="619" spans="1:9" x14ac:dyDescent="0.35">
      <c r="A619" t="s">
        <v>0</v>
      </c>
      <c r="B619" t="s">
        <v>1857</v>
      </c>
      <c r="C619" t="s">
        <v>1214</v>
      </c>
      <c r="D619">
        <v>0</v>
      </c>
      <c r="E619">
        <v>0</v>
      </c>
      <c r="F619">
        <v>2120486.0699999998</v>
      </c>
      <c r="G619">
        <v>-1725493.07</v>
      </c>
      <c r="H619">
        <v>394993</v>
      </c>
      <c r="I619">
        <v>0</v>
      </c>
    </row>
    <row r="620" spans="1:9" x14ac:dyDescent="0.35">
      <c r="A620" t="s">
        <v>0</v>
      </c>
      <c r="B620" t="s">
        <v>1858</v>
      </c>
      <c r="C620" t="s">
        <v>1859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</row>
    <row r="621" spans="1:9" x14ac:dyDescent="0.35">
      <c r="A621" t="s">
        <v>0</v>
      </c>
      <c r="B621" t="s">
        <v>1860</v>
      </c>
      <c r="C621" t="s">
        <v>1861</v>
      </c>
      <c r="D621">
        <v>0</v>
      </c>
      <c r="E621">
        <v>0</v>
      </c>
      <c r="F621">
        <v>232558.31</v>
      </c>
      <c r="G621">
        <v>-179708.6</v>
      </c>
      <c r="H621">
        <v>52849.71</v>
      </c>
      <c r="I621">
        <v>0</v>
      </c>
    </row>
    <row r="622" spans="1:9" x14ac:dyDescent="0.35">
      <c r="A622" t="s">
        <v>0</v>
      </c>
      <c r="B622" t="s">
        <v>1862</v>
      </c>
      <c r="C622" t="s">
        <v>1863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</row>
    <row r="623" spans="1:9" x14ac:dyDescent="0.35">
      <c r="A623" t="s">
        <v>0</v>
      </c>
      <c r="B623" t="s">
        <v>1864</v>
      </c>
      <c r="C623" t="s">
        <v>1210</v>
      </c>
      <c r="D623">
        <v>0</v>
      </c>
      <c r="E623">
        <v>0</v>
      </c>
      <c r="F623">
        <v>2060264.11</v>
      </c>
      <c r="G623">
        <v>-1725154.04</v>
      </c>
      <c r="H623">
        <v>335110.07</v>
      </c>
      <c r="I623">
        <v>0</v>
      </c>
    </row>
    <row r="624" spans="1:9" x14ac:dyDescent="0.35">
      <c r="A624" t="s">
        <v>0</v>
      </c>
      <c r="B624" t="s">
        <v>1865</v>
      </c>
      <c r="C624" t="s">
        <v>1866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</row>
    <row r="625" spans="1:9" x14ac:dyDescent="0.35">
      <c r="A625" t="s">
        <v>0</v>
      </c>
      <c r="B625" t="s">
        <v>1867</v>
      </c>
      <c r="C625" t="s">
        <v>1234</v>
      </c>
      <c r="D625">
        <v>0</v>
      </c>
      <c r="E625">
        <v>0</v>
      </c>
      <c r="F625">
        <v>1854034.68</v>
      </c>
      <c r="G625">
        <v>-1508523.67</v>
      </c>
      <c r="H625">
        <v>345511.01</v>
      </c>
      <c r="I625">
        <v>0</v>
      </c>
    </row>
    <row r="626" spans="1:9" x14ac:dyDescent="0.35">
      <c r="A626" t="s">
        <v>0</v>
      </c>
      <c r="B626" t="s">
        <v>1868</v>
      </c>
      <c r="C626" t="s">
        <v>1869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</row>
    <row r="627" spans="1:9" x14ac:dyDescent="0.35">
      <c r="A627" t="s">
        <v>0</v>
      </c>
      <c r="B627" t="s">
        <v>1870</v>
      </c>
      <c r="C627" t="s">
        <v>1871</v>
      </c>
      <c r="D627">
        <v>0</v>
      </c>
      <c r="E627">
        <v>0</v>
      </c>
      <c r="F627">
        <v>94049.21</v>
      </c>
      <c r="G627">
        <v>-99726.11</v>
      </c>
      <c r="H627">
        <v>0</v>
      </c>
      <c r="I627">
        <v>-5676.9</v>
      </c>
    </row>
    <row r="628" spans="1:9" x14ac:dyDescent="0.35">
      <c r="A628" t="s">
        <v>0</v>
      </c>
      <c r="B628" t="s">
        <v>1872</v>
      </c>
      <c r="C628" t="s">
        <v>1873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</row>
    <row r="629" spans="1:9" x14ac:dyDescent="0.35">
      <c r="A629" t="s">
        <v>0</v>
      </c>
      <c r="B629" t="s">
        <v>1874</v>
      </c>
      <c r="C629" t="s">
        <v>1249</v>
      </c>
      <c r="D629">
        <v>0</v>
      </c>
      <c r="E629">
        <v>0</v>
      </c>
      <c r="F629">
        <v>109063.67999999999</v>
      </c>
      <c r="G629">
        <v>-69589.289999999994</v>
      </c>
      <c r="H629">
        <v>39474.39</v>
      </c>
      <c r="I629">
        <v>0</v>
      </c>
    </row>
    <row r="630" spans="1:9" x14ac:dyDescent="0.35">
      <c r="A630" t="s">
        <v>0</v>
      </c>
      <c r="B630" t="s">
        <v>1875</v>
      </c>
      <c r="C630" t="s">
        <v>1876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</row>
    <row r="631" spans="1:9" x14ac:dyDescent="0.35">
      <c r="A631" t="s">
        <v>0</v>
      </c>
      <c r="B631" t="s">
        <v>1877</v>
      </c>
      <c r="C631" t="s">
        <v>1878</v>
      </c>
      <c r="D631">
        <v>0</v>
      </c>
      <c r="E631">
        <v>0</v>
      </c>
      <c r="F631">
        <v>228.5</v>
      </c>
      <c r="G631">
        <v>-3352.27</v>
      </c>
      <c r="H631">
        <v>0</v>
      </c>
      <c r="I631">
        <v>-3123.77</v>
      </c>
    </row>
    <row r="632" spans="1:9" x14ac:dyDescent="0.35">
      <c r="A632" t="s">
        <v>0</v>
      </c>
      <c r="B632" t="s">
        <v>1879</v>
      </c>
      <c r="C632" t="s">
        <v>1880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</row>
    <row r="633" spans="1:9" x14ac:dyDescent="0.35">
      <c r="A633" t="s">
        <v>0</v>
      </c>
      <c r="B633" t="s">
        <v>1881</v>
      </c>
      <c r="C633" t="s">
        <v>1882</v>
      </c>
      <c r="D633">
        <v>0</v>
      </c>
      <c r="E633">
        <v>0</v>
      </c>
      <c r="F633">
        <v>249236.03</v>
      </c>
      <c r="G633">
        <v>-258884.52</v>
      </c>
      <c r="H633">
        <v>0</v>
      </c>
      <c r="I633">
        <v>-9648.49</v>
      </c>
    </row>
    <row r="634" spans="1:9" x14ac:dyDescent="0.35">
      <c r="A634" t="s">
        <v>0</v>
      </c>
      <c r="B634" t="s">
        <v>1883</v>
      </c>
      <c r="C634" t="s">
        <v>1884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</row>
    <row r="635" spans="1:9" x14ac:dyDescent="0.35">
      <c r="A635" t="s">
        <v>0</v>
      </c>
      <c r="B635" t="s">
        <v>1885</v>
      </c>
      <c r="C635" t="s">
        <v>1886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</row>
    <row r="636" spans="1:9" x14ac:dyDescent="0.35">
      <c r="A636" t="s">
        <v>0</v>
      </c>
      <c r="B636" t="s">
        <v>1887</v>
      </c>
      <c r="C636" t="s">
        <v>1888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</row>
    <row r="637" spans="1:9" x14ac:dyDescent="0.35">
      <c r="A637" t="s">
        <v>0</v>
      </c>
      <c r="B637" t="s">
        <v>1889</v>
      </c>
      <c r="C637" t="s">
        <v>1890</v>
      </c>
      <c r="D637">
        <v>0</v>
      </c>
      <c r="E637">
        <v>0</v>
      </c>
      <c r="F637">
        <v>220.64</v>
      </c>
      <c r="G637">
        <v>-482.29</v>
      </c>
      <c r="H637">
        <v>0</v>
      </c>
      <c r="I637">
        <v>-261.64999999999998</v>
      </c>
    </row>
    <row r="638" spans="1:9" x14ac:dyDescent="0.35">
      <c r="A638" t="s">
        <v>0</v>
      </c>
      <c r="B638" t="s">
        <v>1891</v>
      </c>
      <c r="C638" t="s">
        <v>1892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</row>
    <row r="639" spans="1:9" x14ac:dyDescent="0.35">
      <c r="A639" t="s">
        <v>0</v>
      </c>
      <c r="B639" t="s">
        <v>1893</v>
      </c>
      <c r="C639" t="s">
        <v>1894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</row>
    <row r="640" spans="1:9" x14ac:dyDescent="0.35">
      <c r="A640" t="s">
        <v>0</v>
      </c>
      <c r="B640" t="s">
        <v>1895</v>
      </c>
      <c r="C640" t="s">
        <v>1896</v>
      </c>
      <c r="D640">
        <v>0</v>
      </c>
      <c r="E640">
        <v>0</v>
      </c>
      <c r="F640">
        <v>38610.269999999997</v>
      </c>
      <c r="G640">
        <v>0</v>
      </c>
      <c r="H640">
        <v>38610.269999999997</v>
      </c>
      <c r="I640">
        <v>0</v>
      </c>
    </row>
    <row r="641" spans="1:9" x14ac:dyDescent="0.35">
      <c r="A641" t="s">
        <v>0</v>
      </c>
      <c r="B641" t="s">
        <v>1897</v>
      </c>
      <c r="C641" t="s">
        <v>1898</v>
      </c>
      <c r="D641">
        <v>0</v>
      </c>
      <c r="E641">
        <v>0</v>
      </c>
      <c r="F641">
        <v>433.63</v>
      </c>
      <c r="G641">
        <v>0</v>
      </c>
      <c r="H641">
        <v>433.63</v>
      </c>
      <c r="I641">
        <v>0</v>
      </c>
    </row>
    <row r="642" spans="1:9" x14ac:dyDescent="0.35">
      <c r="A642" t="s">
        <v>0</v>
      </c>
      <c r="B642" t="s">
        <v>1899</v>
      </c>
      <c r="C642" t="s">
        <v>1852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</row>
    <row r="643" spans="1:9" x14ac:dyDescent="0.35">
      <c r="A643" t="s">
        <v>0</v>
      </c>
      <c r="B643" t="s">
        <v>1900</v>
      </c>
      <c r="C643" t="s">
        <v>1901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</row>
    <row r="644" spans="1:9" x14ac:dyDescent="0.35">
      <c r="A644" t="s">
        <v>0</v>
      </c>
      <c r="B644" t="s">
        <v>1902</v>
      </c>
      <c r="C644" t="s">
        <v>1856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</row>
    <row r="645" spans="1:9" x14ac:dyDescent="0.35">
      <c r="A645" t="s">
        <v>0</v>
      </c>
      <c r="B645" t="s">
        <v>1903</v>
      </c>
      <c r="C645" t="s">
        <v>1904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</row>
    <row r="646" spans="1:9" x14ac:dyDescent="0.35">
      <c r="A646" t="s">
        <v>0</v>
      </c>
      <c r="B646" t="s">
        <v>1905</v>
      </c>
      <c r="C646" t="s">
        <v>1859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</row>
    <row r="647" spans="1:9" x14ac:dyDescent="0.35">
      <c r="A647" t="s">
        <v>0</v>
      </c>
      <c r="B647" t="s">
        <v>1906</v>
      </c>
      <c r="C647" t="s">
        <v>1907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</row>
    <row r="648" spans="1:9" x14ac:dyDescent="0.35">
      <c r="A648" t="s">
        <v>0</v>
      </c>
      <c r="B648" t="s">
        <v>1908</v>
      </c>
      <c r="C648" t="s">
        <v>1863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</row>
    <row r="649" spans="1:9" x14ac:dyDescent="0.35">
      <c r="A649" t="s">
        <v>0</v>
      </c>
      <c r="B649" t="s">
        <v>1909</v>
      </c>
      <c r="C649" t="s">
        <v>1910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</row>
    <row r="650" spans="1:9" x14ac:dyDescent="0.35">
      <c r="A650" t="s">
        <v>0</v>
      </c>
      <c r="B650" t="s">
        <v>1911</v>
      </c>
      <c r="C650" t="s">
        <v>1866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</row>
    <row r="651" spans="1:9" x14ac:dyDescent="0.35">
      <c r="A651" t="s">
        <v>0</v>
      </c>
      <c r="B651" t="s">
        <v>1912</v>
      </c>
      <c r="C651" t="s">
        <v>1913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</row>
    <row r="652" spans="1:9" x14ac:dyDescent="0.35">
      <c r="A652" t="s">
        <v>0</v>
      </c>
      <c r="B652" t="s">
        <v>1914</v>
      </c>
      <c r="C652" t="s">
        <v>1869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</row>
    <row r="653" spans="1:9" x14ac:dyDescent="0.35">
      <c r="A653" t="s">
        <v>0</v>
      </c>
      <c r="B653" t="s">
        <v>1915</v>
      </c>
      <c r="C653" t="s">
        <v>1916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</row>
    <row r="654" spans="1:9" x14ac:dyDescent="0.35">
      <c r="A654" t="s">
        <v>0</v>
      </c>
      <c r="B654" t="s">
        <v>1917</v>
      </c>
      <c r="C654" t="s">
        <v>1873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</row>
    <row r="655" spans="1:9" x14ac:dyDescent="0.35">
      <c r="A655" t="s">
        <v>0</v>
      </c>
      <c r="B655" t="s">
        <v>1918</v>
      </c>
      <c r="C655" t="s">
        <v>1919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</row>
    <row r="656" spans="1:9" x14ac:dyDescent="0.35">
      <c r="A656" t="s">
        <v>0</v>
      </c>
      <c r="B656" t="s">
        <v>1920</v>
      </c>
      <c r="C656" t="s">
        <v>1876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</row>
    <row r="657" spans="1:9" x14ac:dyDescent="0.35">
      <c r="A657" t="s">
        <v>0</v>
      </c>
      <c r="B657" t="s">
        <v>1921</v>
      </c>
      <c r="C657" t="s">
        <v>1922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</row>
    <row r="658" spans="1:9" x14ac:dyDescent="0.35">
      <c r="A658" t="s">
        <v>0</v>
      </c>
      <c r="B658" t="s">
        <v>1923</v>
      </c>
      <c r="C658" t="s">
        <v>1880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</row>
    <row r="659" spans="1:9" x14ac:dyDescent="0.35">
      <c r="A659" t="s">
        <v>0</v>
      </c>
      <c r="B659" t="s">
        <v>1924</v>
      </c>
      <c r="C659" t="s">
        <v>1925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</row>
    <row r="660" spans="1:9" x14ac:dyDescent="0.35">
      <c r="A660" t="s">
        <v>0</v>
      </c>
      <c r="B660" t="s">
        <v>1926</v>
      </c>
      <c r="C660" t="s">
        <v>1884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</row>
    <row r="661" spans="1:9" x14ac:dyDescent="0.35">
      <c r="A661" t="s">
        <v>0</v>
      </c>
      <c r="B661" t="s">
        <v>1927</v>
      </c>
      <c r="C661" t="s">
        <v>1928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</row>
    <row r="662" spans="1:9" x14ac:dyDescent="0.35">
      <c r="A662" t="s">
        <v>0</v>
      </c>
      <c r="B662" t="s">
        <v>1929</v>
      </c>
      <c r="C662" t="s">
        <v>1888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</row>
    <row r="663" spans="1:9" x14ac:dyDescent="0.35">
      <c r="A663" t="s">
        <v>0</v>
      </c>
      <c r="B663" t="s">
        <v>1930</v>
      </c>
      <c r="C663" t="s">
        <v>1931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</row>
    <row r="664" spans="1:9" x14ac:dyDescent="0.35">
      <c r="A664" t="s">
        <v>0</v>
      </c>
      <c r="B664" t="s">
        <v>1932</v>
      </c>
      <c r="C664" t="s">
        <v>1892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</row>
    <row r="665" spans="1:9" x14ac:dyDescent="0.35">
      <c r="A665" t="s">
        <v>0</v>
      </c>
      <c r="B665" t="s">
        <v>1933</v>
      </c>
      <c r="C665" t="s">
        <v>1934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</row>
    <row r="666" spans="1:9" x14ac:dyDescent="0.35">
      <c r="A666" t="s">
        <v>0</v>
      </c>
      <c r="B666" t="s">
        <v>1935</v>
      </c>
      <c r="C666" t="s">
        <v>1936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</row>
    <row r="667" spans="1:9" x14ac:dyDescent="0.35">
      <c r="A667" t="s">
        <v>0</v>
      </c>
      <c r="B667" t="s">
        <v>1937</v>
      </c>
      <c r="C667" t="s">
        <v>1938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</row>
    <row r="668" spans="1:9" x14ac:dyDescent="0.35">
      <c r="A668" t="s">
        <v>0</v>
      </c>
      <c r="B668" t="s">
        <v>1939</v>
      </c>
      <c r="C668" t="s">
        <v>1940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</row>
    <row r="669" spans="1:9" x14ac:dyDescent="0.35">
      <c r="A669" t="s">
        <v>0</v>
      </c>
      <c r="B669" t="s">
        <v>1941</v>
      </c>
      <c r="C669" t="s">
        <v>1942</v>
      </c>
      <c r="D669">
        <v>0</v>
      </c>
      <c r="E669">
        <v>0</v>
      </c>
      <c r="F669">
        <v>12648688.689999999</v>
      </c>
      <c r="G669">
        <v>-10942707.73</v>
      </c>
      <c r="H669">
        <v>1705980.96</v>
      </c>
      <c r="I669">
        <v>0</v>
      </c>
    </row>
    <row r="670" spans="1:9" x14ac:dyDescent="0.35">
      <c r="A670" t="s">
        <v>0</v>
      </c>
      <c r="B670" t="s">
        <v>1943</v>
      </c>
      <c r="C670" t="s">
        <v>1944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</row>
    <row r="671" spans="1:9" x14ac:dyDescent="0.35">
      <c r="A671" t="s">
        <v>0</v>
      </c>
      <c r="B671" t="s">
        <v>1945</v>
      </c>
      <c r="C671" t="s">
        <v>1946</v>
      </c>
      <c r="D671">
        <v>0</v>
      </c>
      <c r="E671">
        <v>0</v>
      </c>
      <c r="F671">
        <v>584434.6</v>
      </c>
      <c r="G671">
        <v>-918320.36</v>
      </c>
      <c r="H671">
        <v>0</v>
      </c>
      <c r="I671">
        <v>-333885.76</v>
      </c>
    </row>
    <row r="672" spans="1:9" x14ac:dyDescent="0.35">
      <c r="A672" t="s">
        <v>0</v>
      </c>
      <c r="B672" t="s">
        <v>1947</v>
      </c>
      <c r="C672" t="s">
        <v>1948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</row>
    <row r="673" spans="1:9" x14ac:dyDescent="0.35">
      <c r="A673" t="s">
        <v>0</v>
      </c>
      <c r="B673" t="s">
        <v>1949</v>
      </c>
      <c r="C673" t="s">
        <v>1950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</row>
    <row r="674" spans="1:9" x14ac:dyDescent="0.35">
      <c r="A674" t="s">
        <v>0</v>
      </c>
      <c r="B674" t="s">
        <v>1951</v>
      </c>
      <c r="C674" t="s">
        <v>1952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</row>
    <row r="675" spans="1:9" x14ac:dyDescent="0.35">
      <c r="A675" t="s">
        <v>0</v>
      </c>
      <c r="B675" t="s">
        <v>1953</v>
      </c>
      <c r="C675" t="s">
        <v>1954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</row>
    <row r="676" spans="1:9" x14ac:dyDescent="0.35">
      <c r="A676" t="s">
        <v>0</v>
      </c>
      <c r="B676" t="s">
        <v>1955</v>
      </c>
      <c r="C676" t="s">
        <v>1936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</row>
    <row r="677" spans="1:9" x14ac:dyDescent="0.35">
      <c r="A677" t="s">
        <v>0</v>
      </c>
      <c r="B677" t="s">
        <v>1956</v>
      </c>
      <c r="C677" t="s">
        <v>1957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</row>
    <row r="678" spans="1:9" x14ac:dyDescent="0.35">
      <c r="A678" t="s">
        <v>0</v>
      </c>
      <c r="B678" t="s">
        <v>1958</v>
      </c>
      <c r="C678" t="s">
        <v>1940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</row>
    <row r="679" spans="1:9" x14ac:dyDescent="0.35">
      <c r="A679" t="s">
        <v>0</v>
      </c>
      <c r="B679" t="s">
        <v>1959</v>
      </c>
      <c r="C679" t="s">
        <v>1960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</row>
    <row r="680" spans="1:9" x14ac:dyDescent="0.35">
      <c r="A680" t="s">
        <v>0</v>
      </c>
      <c r="B680" t="s">
        <v>1961</v>
      </c>
      <c r="C680" t="s">
        <v>1944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</row>
    <row r="681" spans="1:9" x14ac:dyDescent="0.35">
      <c r="A681" t="s">
        <v>0</v>
      </c>
      <c r="B681" t="s">
        <v>1962</v>
      </c>
      <c r="C681" t="s">
        <v>1963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</row>
    <row r="682" spans="1:9" x14ac:dyDescent="0.35">
      <c r="A682" t="s">
        <v>0</v>
      </c>
      <c r="B682" t="s">
        <v>1964</v>
      </c>
      <c r="C682" t="s">
        <v>1948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</row>
    <row r="683" spans="1:9" x14ac:dyDescent="0.35">
      <c r="A683" t="s">
        <v>0</v>
      </c>
      <c r="B683" t="s">
        <v>1965</v>
      </c>
      <c r="C683" t="s">
        <v>1950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</row>
    <row r="684" spans="1:9" x14ac:dyDescent="0.35">
      <c r="A684" t="s">
        <v>0</v>
      </c>
      <c r="B684" t="s">
        <v>1966</v>
      </c>
      <c r="C684" t="s">
        <v>1967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</row>
    <row r="685" spans="1:9" x14ac:dyDescent="0.35">
      <c r="A685" t="s">
        <v>0</v>
      </c>
      <c r="B685" t="s">
        <v>1968</v>
      </c>
      <c r="C685" t="s">
        <v>1967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</row>
    <row r="686" spans="1:9" x14ac:dyDescent="0.35">
      <c r="A686" t="s">
        <v>0</v>
      </c>
      <c r="B686" t="s">
        <v>1969</v>
      </c>
      <c r="C686" t="s">
        <v>1967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</row>
    <row r="687" spans="1:9" x14ac:dyDescent="0.35">
      <c r="A687" t="s">
        <v>0</v>
      </c>
      <c r="B687" t="s">
        <v>1970</v>
      </c>
      <c r="C687" t="s">
        <v>1971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</row>
    <row r="688" spans="1:9" x14ac:dyDescent="0.35">
      <c r="A688" t="s">
        <v>0</v>
      </c>
      <c r="B688" t="s">
        <v>1972</v>
      </c>
      <c r="C688" t="s">
        <v>1973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</row>
    <row r="689" spans="1:9" x14ac:dyDescent="0.35">
      <c r="A689" t="s">
        <v>0</v>
      </c>
      <c r="B689" t="s">
        <v>1974</v>
      </c>
      <c r="C689" t="s">
        <v>1975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</row>
    <row r="690" spans="1:9" x14ac:dyDescent="0.35">
      <c r="A690" t="s">
        <v>0</v>
      </c>
      <c r="B690" t="s">
        <v>1976</v>
      </c>
      <c r="C690" t="s">
        <v>1975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</row>
    <row r="691" spans="1:9" x14ac:dyDescent="0.35">
      <c r="A691" t="s">
        <v>0</v>
      </c>
      <c r="B691" t="s">
        <v>1977</v>
      </c>
      <c r="C691" t="s">
        <v>1978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</row>
    <row r="692" spans="1:9" x14ac:dyDescent="0.35">
      <c r="A692" t="s">
        <v>0</v>
      </c>
      <c r="B692" t="s">
        <v>1979</v>
      </c>
      <c r="C692" t="s">
        <v>1980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</row>
    <row r="693" spans="1:9" x14ac:dyDescent="0.35">
      <c r="A693" t="s">
        <v>0</v>
      </c>
      <c r="B693" t="s">
        <v>1981</v>
      </c>
      <c r="C693" t="s">
        <v>1982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</row>
    <row r="694" spans="1:9" x14ac:dyDescent="0.35">
      <c r="A694" t="s">
        <v>0</v>
      </c>
      <c r="B694" t="s">
        <v>1983</v>
      </c>
      <c r="C694" t="s">
        <v>1984</v>
      </c>
      <c r="D694">
        <v>0</v>
      </c>
      <c r="E694">
        <v>0</v>
      </c>
      <c r="F694">
        <v>15536899.220000001</v>
      </c>
      <c r="G694">
        <v>-15339478.92</v>
      </c>
      <c r="H694">
        <v>197420.3</v>
      </c>
      <c r="I694">
        <v>0</v>
      </c>
    </row>
    <row r="695" spans="1:9" x14ac:dyDescent="0.35">
      <c r="A695" t="s">
        <v>0</v>
      </c>
      <c r="B695" t="s">
        <v>1985</v>
      </c>
      <c r="C695" t="s">
        <v>1986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</row>
    <row r="696" spans="1:9" x14ac:dyDescent="0.35">
      <c r="A696" t="s">
        <v>0</v>
      </c>
      <c r="B696" t="s">
        <v>1987</v>
      </c>
      <c r="C696" t="s">
        <v>1988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</row>
    <row r="697" spans="1:9" x14ac:dyDescent="0.35">
      <c r="A697" t="s">
        <v>0</v>
      </c>
      <c r="B697" t="s">
        <v>1989</v>
      </c>
      <c r="C697" t="s">
        <v>1988</v>
      </c>
      <c r="D697">
        <v>0</v>
      </c>
      <c r="E697">
        <v>0</v>
      </c>
      <c r="F697">
        <v>39333572.020000003</v>
      </c>
      <c r="G697">
        <v>-39491486.189999998</v>
      </c>
      <c r="H697">
        <v>0</v>
      </c>
      <c r="I697">
        <v>-157914.17000000001</v>
      </c>
    </row>
    <row r="698" spans="1:9" x14ac:dyDescent="0.35">
      <c r="A698" t="s">
        <v>0</v>
      </c>
      <c r="B698" t="s">
        <v>1990</v>
      </c>
      <c r="C698" t="s">
        <v>1988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</row>
    <row r="699" spans="1:9" x14ac:dyDescent="0.35">
      <c r="A699" t="s">
        <v>0</v>
      </c>
      <c r="B699" t="s">
        <v>1991</v>
      </c>
      <c r="C699" t="s">
        <v>1992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</row>
    <row r="700" spans="1:9" x14ac:dyDescent="0.35">
      <c r="A700" t="s">
        <v>0</v>
      </c>
      <c r="B700" t="s">
        <v>1993</v>
      </c>
      <c r="C700" t="s">
        <v>1994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</row>
    <row r="701" spans="1:9" x14ac:dyDescent="0.35">
      <c r="A701" t="s">
        <v>0</v>
      </c>
      <c r="B701" t="s">
        <v>1995</v>
      </c>
      <c r="C701" t="s">
        <v>1996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</row>
    <row r="702" spans="1:9" x14ac:dyDescent="0.35">
      <c r="A702" t="s">
        <v>0</v>
      </c>
      <c r="B702" t="s">
        <v>1997</v>
      </c>
      <c r="C702" t="s">
        <v>1998</v>
      </c>
      <c r="D702">
        <v>0</v>
      </c>
      <c r="E702">
        <v>0</v>
      </c>
      <c r="F702">
        <v>337915.85</v>
      </c>
      <c r="G702">
        <v>-11198.79</v>
      </c>
      <c r="H702">
        <v>326717.06</v>
      </c>
      <c r="I702">
        <v>0</v>
      </c>
    </row>
    <row r="703" spans="1:9" x14ac:dyDescent="0.35">
      <c r="A703" t="s">
        <v>0</v>
      </c>
      <c r="B703" t="s">
        <v>1999</v>
      </c>
      <c r="C703" t="s">
        <v>1982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</row>
    <row r="704" spans="1:9" x14ac:dyDescent="0.35">
      <c r="A704" t="s">
        <v>0</v>
      </c>
      <c r="B704" t="s">
        <v>2000</v>
      </c>
      <c r="C704" t="s">
        <v>1986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</row>
    <row r="705" spans="1:9" x14ac:dyDescent="0.35">
      <c r="A705" t="s">
        <v>0</v>
      </c>
      <c r="B705" t="s">
        <v>2001</v>
      </c>
      <c r="C705" t="s">
        <v>1988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</row>
    <row r="706" spans="1:9" x14ac:dyDescent="0.35">
      <c r="A706" t="s">
        <v>0</v>
      </c>
      <c r="B706" t="s">
        <v>2002</v>
      </c>
      <c r="C706" t="s">
        <v>1988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</row>
    <row r="707" spans="1:9" x14ac:dyDescent="0.35">
      <c r="A707" t="s">
        <v>0</v>
      </c>
      <c r="B707" t="s">
        <v>2003</v>
      </c>
      <c r="C707" t="s">
        <v>1992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</row>
    <row r="708" spans="1:9" x14ac:dyDescent="0.35">
      <c r="A708" t="s">
        <v>0</v>
      </c>
      <c r="B708" t="s">
        <v>2004</v>
      </c>
      <c r="C708" t="s">
        <v>1996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</row>
    <row r="709" spans="1:9" x14ac:dyDescent="0.35">
      <c r="A709" t="s">
        <v>0</v>
      </c>
      <c r="B709" t="s">
        <v>2005</v>
      </c>
      <c r="C709" t="s">
        <v>2006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</row>
    <row r="710" spans="1:9" x14ac:dyDescent="0.35">
      <c r="A710" t="s">
        <v>0</v>
      </c>
      <c r="B710" t="s">
        <v>2007</v>
      </c>
      <c r="C710" t="s">
        <v>2008</v>
      </c>
      <c r="D710">
        <v>0</v>
      </c>
      <c r="E710">
        <v>0</v>
      </c>
      <c r="F710">
        <v>2062.2600000000002</v>
      </c>
      <c r="G710">
        <v>-2062.2600000000002</v>
      </c>
      <c r="H710">
        <v>0</v>
      </c>
      <c r="I710">
        <v>0</v>
      </c>
    </row>
    <row r="711" spans="1:9" x14ac:dyDescent="0.35">
      <c r="A711" t="s">
        <v>0</v>
      </c>
      <c r="B711" t="s">
        <v>2009</v>
      </c>
      <c r="C711" t="s">
        <v>2010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</row>
    <row r="712" spans="1:9" x14ac:dyDescent="0.35">
      <c r="A712" t="s">
        <v>0</v>
      </c>
      <c r="B712" t="s">
        <v>2011</v>
      </c>
      <c r="C712" t="s">
        <v>2012</v>
      </c>
      <c r="D712">
        <v>0</v>
      </c>
      <c r="E712">
        <v>0</v>
      </c>
      <c r="F712">
        <v>1336.45</v>
      </c>
      <c r="G712">
        <v>-1336.45</v>
      </c>
      <c r="H712">
        <v>0</v>
      </c>
      <c r="I712">
        <v>0</v>
      </c>
    </row>
    <row r="713" spans="1:9" x14ac:dyDescent="0.35">
      <c r="A713" t="s">
        <v>0</v>
      </c>
      <c r="B713" t="s">
        <v>2013</v>
      </c>
      <c r="C713" t="s">
        <v>2014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</row>
    <row r="714" spans="1:9" x14ac:dyDescent="0.35">
      <c r="A714" t="s">
        <v>0</v>
      </c>
      <c r="B714" t="s">
        <v>2015</v>
      </c>
      <c r="C714" t="s">
        <v>2016</v>
      </c>
      <c r="D714">
        <v>0</v>
      </c>
      <c r="E714">
        <v>0</v>
      </c>
      <c r="F714">
        <v>1182.5</v>
      </c>
      <c r="G714">
        <v>-1180.5999999999999</v>
      </c>
      <c r="H714">
        <v>1.9</v>
      </c>
      <c r="I714">
        <v>0</v>
      </c>
    </row>
    <row r="715" spans="1:9" x14ac:dyDescent="0.35">
      <c r="A715" t="s">
        <v>0</v>
      </c>
      <c r="B715" t="s">
        <v>2017</v>
      </c>
      <c r="C715" t="s">
        <v>2018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</row>
    <row r="716" spans="1:9" x14ac:dyDescent="0.35">
      <c r="A716" t="s">
        <v>0</v>
      </c>
      <c r="B716" t="s">
        <v>2019</v>
      </c>
      <c r="C716" t="s">
        <v>2020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</row>
    <row r="717" spans="1:9" x14ac:dyDescent="0.35">
      <c r="A717" t="s">
        <v>0</v>
      </c>
      <c r="B717" t="s">
        <v>2021</v>
      </c>
      <c r="C717" t="s">
        <v>2022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</row>
    <row r="718" spans="1:9" x14ac:dyDescent="0.35">
      <c r="A718" t="s">
        <v>0</v>
      </c>
      <c r="B718" t="s">
        <v>2023</v>
      </c>
      <c r="C718" t="s">
        <v>2024</v>
      </c>
      <c r="D718">
        <v>0</v>
      </c>
      <c r="E718">
        <v>0</v>
      </c>
      <c r="F718">
        <v>500</v>
      </c>
      <c r="G718">
        <v>0</v>
      </c>
      <c r="H718">
        <v>500</v>
      </c>
      <c r="I718">
        <v>0</v>
      </c>
    </row>
    <row r="719" spans="1:9" x14ac:dyDescent="0.35">
      <c r="A719" t="s">
        <v>0</v>
      </c>
      <c r="B719" t="s">
        <v>2025</v>
      </c>
      <c r="C719" t="s">
        <v>2026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</row>
    <row r="720" spans="1:9" x14ac:dyDescent="0.35">
      <c r="A720" t="s">
        <v>0</v>
      </c>
      <c r="B720" t="s">
        <v>2027</v>
      </c>
      <c r="C720" t="s">
        <v>2028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</row>
    <row r="721" spans="1:9" x14ac:dyDescent="0.35">
      <c r="A721" t="s">
        <v>0</v>
      </c>
      <c r="B721" t="s">
        <v>2029</v>
      </c>
      <c r="C721" t="s">
        <v>2030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</row>
    <row r="722" spans="1:9" x14ac:dyDescent="0.35">
      <c r="A722" t="s">
        <v>0</v>
      </c>
      <c r="B722" t="s">
        <v>2031</v>
      </c>
      <c r="C722" t="s">
        <v>2032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</row>
    <row r="723" spans="1:9" x14ac:dyDescent="0.35">
      <c r="A723" t="s">
        <v>0</v>
      </c>
      <c r="B723" t="s">
        <v>2033</v>
      </c>
      <c r="C723" t="s">
        <v>2034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</row>
    <row r="724" spans="1:9" x14ac:dyDescent="0.35">
      <c r="A724" t="s">
        <v>0</v>
      </c>
      <c r="B724" t="s">
        <v>2035</v>
      </c>
      <c r="C724" t="s">
        <v>2036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</row>
    <row r="725" spans="1:9" x14ac:dyDescent="0.35">
      <c r="A725" t="s">
        <v>0</v>
      </c>
      <c r="B725" t="s">
        <v>2037</v>
      </c>
      <c r="C725" t="s">
        <v>2038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</row>
    <row r="726" spans="1:9" x14ac:dyDescent="0.35">
      <c r="A726" t="s">
        <v>0</v>
      </c>
      <c r="B726" t="s">
        <v>2039</v>
      </c>
      <c r="C726" t="s">
        <v>2040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</row>
    <row r="727" spans="1:9" x14ac:dyDescent="0.35">
      <c r="A727" t="s">
        <v>0</v>
      </c>
      <c r="B727" t="s">
        <v>2041</v>
      </c>
      <c r="C727" t="s">
        <v>2042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</row>
    <row r="728" spans="1:9" x14ac:dyDescent="0.35">
      <c r="A728" t="s">
        <v>0</v>
      </c>
      <c r="B728" t="s">
        <v>2043</v>
      </c>
      <c r="C728" t="s">
        <v>2044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</row>
    <row r="729" spans="1:9" x14ac:dyDescent="0.35">
      <c r="A729" t="s">
        <v>0</v>
      </c>
      <c r="B729" t="s">
        <v>2045</v>
      </c>
      <c r="C729" t="s">
        <v>2046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</row>
    <row r="730" spans="1:9" x14ac:dyDescent="0.35">
      <c r="A730" t="s">
        <v>0</v>
      </c>
      <c r="B730" t="s">
        <v>2047</v>
      </c>
      <c r="C730" t="s">
        <v>2048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</row>
    <row r="731" spans="1:9" x14ac:dyDescent="0.35">
      <c r="A731" t="s">
        <v>0</v>
      </c>
      <c r="B731" t="s">
        <v>2049</v>
      </c>
      <c r="C731" t="s">
        <v>2050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</row>
    <row r="732" spans="1:9" x14ac:dyDescent="0.35">
      <c r="A732" t="s">
        <v>0</v>
      </c>
      <c r="B732" t="s">
        <v>2051</v>
      </c>
      <c r="C732" t="s">
        <v>2052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</row>
    <row r="733" spans="1:9" x14ac:dyDescent="0.35">
      <c r="A733" t="s">
        <v>0</v>
      </c>
      <c r="B733" t="s">
        <v>2053</v>
      </c>
      <c r="C733" t="s">
        <v>2054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</row>
    <row r="734" spans="1:9" x14ac:dyDescent="0.35">
      <c r="A734" t="s">
        <v>0</v>
      </c>
      <c r="B734" t="s">
        <v>2055</v>
      </c>
      <c r="C734" t="s">
        <v>2056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</row>
    <row r="735" spans="1:9" x14ac:dyDescent="0.35">
      <c r="A735" t="s">
        <v>0</v>
      </c>
      <c r="B735" t="s">
        <v>2057</v>
      </c>
      <c r="C735" t="s">
        <v>2058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</row>
    <row r="736" spans="1:9" x14ac:dyDescent="0.35">
      <c r="A736" t="s">
        <v>0</v>
      </c>
      <c r="B736" t="s">
        <v>2059</v>
      </c>
      <c r="C736" t="s">
        <v>2060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</row>
    <row r="737" spans="1:9" x14ac:dyDescent="0.35">
      <c r="A737" t="s">
        <v>0</v>
      </c>
      <c r="B737" t="s">
        <v>2061</v>
      </c>
      <c r="C737" t="s">
        <v>2062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</row>
    <row r="738" spans="1:9" x14ac:dyDescent="0.35">
      <c r="A738" t="s">
        <v>0</v>
      </c>
      <c r="B738" t="s">
        <v>2063</v>
      </c>
      <c r="C738" t="s">
        <v>2064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</row>
    <row r="739" spans="1:9" x14ac:dyDescent="0.35">
      <c r="A739" t="s">
        <v>0</v>
      </c>
      <c r="B739" t="s">
        <v>2065</v>
      </c>
      <c r="C739" t="s">
        <v>2066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</row>
    <row r="740" spans="1:9" x14ac:dyDescent="0.35">
      <c r="A740" t="s">
        <v>0</v>
      </c>
      <c r="B740" t="s">
        <v>2067</v>
      </c>
      <c r="C740" t="s">
        <v>2068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</row>
    <row r="741" spans="1:9" x14ac:dyDescent="0.35">
      <c r="A741" t="s">
        <v>0</v>
      </c>
      <c r="B741" t="s">
        <v>2069</v>
      </c>
      <c r="C741" t="s">
        <v>2070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</row>
    <row r="742" spans="1:9" x14ac:dyDescent="0.35">
      <c r="A742" t="s">
        <v>0</v>
      </c>
      <c r="B742" t="s">
        <v>2071</v>
      </c>
      <c r="C742" t="s">
        <v>2072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</row>
    <row r="743" spans="1:9" x14ac:dyDescent="0.35">
      <c r="A743" t="s">
        <v>0</v>
      </c>
      <c r="B743" t="s">
        <v>2073</v>
      </c>
      <c r="C743" t="s">
        <v>2074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</row>
    <row r="744" spans="1:9" x14ac:dyDescent="0.35">
      <c r="A744" t="s">
        <v>0</v>
      </c>
      <c r="B744" t="s">
        <v>2075</v>
      </c>
      <c r="C744" t="s">
        <v>2076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</row>
    <row r="745" spans="1:9" x14ac:dyDescent="0.35">
      <c r="A745" t="s">
        <v>0</v>
      </c>
      <c r="B745" t="s">
        <v>2077</v>
      </c>
      <c r="C745" t="s">
        <v>2078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</row>
    <row r="746" spans="1:9" x14ac:dyDescent="0.35">
      <c r="A746" t="s">
        <v>0</v>
      </c>
      <c r="B746" t="s">
        <v>2079</v>
      </c>
      <c r="C746" t="s">
        <v>2080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</row>
    <row r="747" spans="1:9" x14ac:dyDescent="0.35">
      <c r="A747" t="s">
        <v>0</v>
      </c>
      <c r="B747" t="s">
        <v>2081</v>
      </c>
      <c r="C747" t="s">
        <v>2082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</row>
    <row r="748" spans="1:9" x14ac:dyDescent="0.35">
      <c r="A748" t="s">
        <v>0</v>
      </c>
      <c r="B748" t="s">
        <v>2083</v>
      </c>
      <c r="C748" t="s">
        <v>2084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</row>
    <row r="749" spans="1:9" x14ac:dyDescent="0.35">
      <c r="A749" t="s">
        <v>0</v>
      </c>
      <c r="B749" t="s">
        <v>2085</v>
      </c>
      <c r="C749" t="s">
        <v>2086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</row>
    <row r="750" spans="1:9" x14ac:dyDescent="0.35">
      <c r="A750" t="s">
        <v>0</v>
      </c>
      <c r="B750" t="s">
        <v>2087</v>
      </c>
      <c r="C750" t="s">
        <v>2088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</row>
    <row r="751" spans="1:9" x14ac:dyDescent="0.35">
      <c r="A751" t="s">
        <v>0</v>
      </c>
      <c r="B751" t="s">
        <v>2089</v>
      </c>
      <c r="C751" t="s">
        <v>2090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</row>
    <row r="752" spans="1:9" x14ac:dyDescent="0.35">
      <c r="A752" t="s">
        <v>0</v>
      </c>
      <c r="B752" t="s">
        <v>2091</v>
      </c>
      <c r="C752" t="s">
        <v>2092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</row>
    <row r="753" spans="1:9" x14ac:dyDescent="0.35">
      <c r="A753" t="s">
        <v>0</v>
      </c>
      <c r="B753" t="s">
        <v>2093</v>
      </c>
      <c r="C753" t="s">
        <v>2094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</row>
    <row r="754" spans="1:9" x14ac:dyDescent="0.35">
      <c r="A754" t="s">
        <v>0</v>
      </c>
      <c r="B754" t="s">
        <v>2095</v>
      </c>
      <c r="C754" t="s">
        <v>2096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</row>
    <row r="755" spans="1:9" x14ac:dyDescent="0.35">
      <c r="A755" t="s">
        <v>0</v>
      </c>
      <c r="B755" t="s">
        <v>2097</v>
      </c>
      <c r="C755" t="s">
        <v>2098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</row>
    <row r="756" spans="1:9" x14ac:dyDescent="0.35">
      <c r="A756" t="s">
        <v>0</v>
      </c>
      <c r="B756" t="s">
        <v>2099</v>
      </c>
      <c r="C756" t="s">
        <v>2100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</row>
    <row r="757" spans="1:9" x14ac:dyDescent="0.35">
      <c r="A757" t="s">
        <v>0</v>
      </c>
      <c r="B757" t="s">
        <v>2101</v>
      </c>
      <c r="C757" t="s">
        <v>2102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</row>
    <row r="758" spans="1:9" x14ac:dyDescent="0.35">
      <c r="A758" t="s">
        <v>0</v>
      </c>
      <c r="B758" t="s">
        <v>2103</v>
      </c>
      <c r="C758" t="s">
        <v>2104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</row>
    <row r="759" spans="1:9" x14ac:dyDescent="0.35">
      <c r="A759" t="s">
        <v>0</v>
      </c>
      <c r="B759" t="s">
        <v>2105</v>
      </c>
      <c r="C759" t="s">
        <v>2106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</row>
    <row r="760" spans="1:9" x14ac:dyDescent="0.35">
      <c r="A760" t="s">
        <v>0</v>
      </c>
      <c r="B760" t="s">
        <v>2107</v>
      </c>
      <c r="C760" t="s">
        <v>2106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</row>
    <row r="761" spans="1:9" x14ac:dyDescent="0.35">
      <c r="A761" t="s">
        <v>0</v>
      </c>
      <c r="B761" t="s">
        <v>2108</v>
      </c>
      <c r="C761" t="s">
        <v>2106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</row>
    <row r="762" spans="1:9" x14ac:dyDescent="0.35">
      <c r="A762" t="s">
        <v>0</v>
      </c>
      <c r="B762" t="s">
        <v>2109</v>
      </c>
      <c r="C762" t="s">
        <v>2106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</row>
    <row r="763" spans="1:9" x14ac:dyDescent="0.35">
      <c r="A763" t="s">
        <v>0</v>
      </c>
      <c r="B763" t="s">
        <v>2110</v>
      </c>
      <c r="C763" t="s">
        <v>2106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</row>
    <row r="764" spans="1:9" x14ac:dyDescent="0.35">
      <c r="A764" t="s">
        <v>0</v>
      </c>
      <c r="B764" t="s">
        <v>2111</v>
      </c>
      <c r="C764" t="s">
        <v>2112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</row>
    <row r="765" spans="1:9" x14ac:dyDescent="0.35">
      <c r="A765" t="s">
        <v>0</v>
      </c>
      <c r="B765" t="s">
        <v>2113</v>
      </c>
      <c r="C765" t="s">
        <v>2112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</row>
    <row r="766" spans="1:9" x14ac:dyDescent="0.35">
      <c r="A766" t="s">
        <v>0</v>
      </c>
      <c r="B766" t="s">
        <v>2114</v>
      </c>
      <c r="C766" t="s">
        <v>2112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</row>
    <row r="767" spans="1:9" x14ac:dyDescent="0.35">
      <c r="A767" t="s">
        <v>0</v>
      </c>
      <c r="B767" t="s">
        <v>2115</v>
      </c>
      <c r="C767" t="s">
        <v>2112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</row>
    <row r="768" spans="1:9" x14ac:dyDescent="0.35">
      <c r="A768" t="s">
        <v>0</v>
      </c>
      <c r="B768" t="s">
        <v>2116</v>
      </c>
      <c r="C768" t="s">
        <v>2112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</row>
    <row r="769" spans="1:9" x14ac:dyDescent="0.35">
      <c r="A769" t="s">
        <v>0</v>
      </c>
      <c r="B769" t="s">
        <v>2117</v>
      </c>
      <c r="C769" t="s">
        <v>2118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</row>
    <row r="770" spans="1:9" x14ac:dyDescent="0.35">
      <c r="A770" t="s">
        <v>0</v>
      </c>
      <c r="B770" t="s">
        <v>2119</v>
      </c>
      <c r="C770" t="s">
        <v>2118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</row>
    <row r="771" spans="1:9" x14ac:dyDescent="0.35">
      <c r="A771" t="s">
        <v>0</v>
      </c>
      <c r="B771" t="s">
        <v>2120</v>
      </c>
      <c r="C771" t="s">
        <v>2118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</row>
    <row r="772" spans="1:9" x14ac:dyDescent="0.35">
      <c r="A772" t="s">
        <v>0</v>
      </c>
      <c r="B772" t="s">
        <v>2121</v>
      </c>
      <c r="C772" t="s">
        <v>2118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</row>
    <row r="773" spans="1:9" x14ac:dyDescent="0.35">
      <c r="A773" t="s">
        <v>0</v>
      </c>
      <c r="B773" t="s">
        <v>2122</v>
      </c>
      <c r="C773" t="s">
        <v>2118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</row>
    <row r="774" spans="1:9" x14ac:dyDescent="0.35">
      <c r="A774" t="s">
        <v>0</v>
      </c>
      <c r="B774" t="s">
        <v>2123</v>
      </c>
      <c r="C774" t="s">
        <v>2124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</row>
    <row r="775" spans="1:9" x14ac:dyDescent="0.35">
      <c r="A775" t="s">
        <v>0</v>
      </c>
      <c r="B775" t="s">
        <v>2125</v>
      </c>
      <c r="C775" t="s">
        <v>2124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</row>
    <row r="776" spans="1:9" x14ac:dyDescent="0.35">
      <c r="A776" t="s">
        <v>0</v>
      </c>
      <c r="B776" t="s">
        <v>2126</v>
      </c>
      <c r="C776" t="s">
        <v>2124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</row>
    <row r="777" spans="1:9" x14ac:dyDescent="0.35">
      <c r="A777" t="s">
        <v>0</v>
      </c>
      <c r="B777" t="s">
        <v>2127</v>
      </c>
      <c r="C777" t="s">
        <v>2124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</row>
    <row r="778" spans="1:9" x14ac:dyDescent="0.35">
      <c r="A778" t="s">
        <v>0</v>
      </c>
      <c r="B778" t="s">
        <v>2128</v>
      </c>
      <c r="C778" t="s">
        <v>2124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</row>
    <row r="779" spans="1:9" x14ac:dyDescent="0.35">
      <c r="A779" t="s">
        <v>0</v>
      </c>
      <c r="B779" t="s">
        <v>2129</v>
      </c>
      <c r="C779" t="s">
        <v>1269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</row>
    <row r="780" spans="1:9" x14ac:dyDescent="0.35">
      <c r="A780" t="s">
        <v>0</v>
      </c>
      <c r="B780" t="s">
        <v>2130</v>
      </c>
      <c r="C780" t="s">
        <v>2131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</row>
    <row r="781" spans="1:9" x14ac:dyDescent="0.35">
      <c r="A781" t="s">
        <v>0</v>
      </c>
      <c r="B781" t="s">
        <v>2132</v>
      </c>
      <c r="C781" t="s">
        <v>2133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</row>
    <row r="782" spans="1:9" x14ac:dyDescent="0.35">
      <c r="A782" t="s">
        <v>0</v>
      </c>
      <c r="B782" t="s">
        <v>2134</v>
      </c>
      <c r="C782" t="s">
        <v>2135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</row>
    <row r="783" spans="1:9" x14ac:dyDescent="0.35">
      <c r="A783" t="s">
        <v>0</v>
      </c>
      <c r="B783" t="s">
        <v>2136</v>
      </c>
      <c r="C783" t="s">
        <v>2137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</row>
    <row r="784" spans="1:9" x14ac:dyDescent="0.35">
      <c r="A784" t="s">
        <v>0</v>
      </c>
      <c r="B784" t="s">
        <v>2138</v>
      </c>
      <c r="C784" t="s">
        <v>2139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</row>
    <row r="785" spans="1:9" x14ac:dyDescent="0.35">
      <c r="A785" t="s">
        <v>0</v>
      </c>
      <c r="B785" t="s">
        <v>2140</v>
      </c>
      <c r="C785" t="s">
        <v>2141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</row>
    <row r="786" spans="1:9" x14ac:dyDescent="0.35">
      <c r="A786" t="s">
        <v>0</v>
      </c>
      <c r="B786" t="s">
        <v>2142</v>
      </c>
      <c r="C786" t="s">
        <v>2143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</row>
    <row r="787" spans="1:9" x14ac:dyDescent="0.35">
      <c r="A787" t="s">
        <v>0</v>
      </c>
      <c r="B787" t="s">
        <v>2144</v>
      </c>
      <c r="C787" t="s">
        <v>2145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</row>
    <row r="788" spans="1:9" x14ac:dyDescent="0.35">
      <c r="A788" t="s">
        <v>0</v>
      </c>
      <c r="B788" t="s">
        <v>2146</v>
      </c>
      <c r="C788" t="s">
        <v>2147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</row>
    <row r="789" spans="1:9" x14ac:dyDescent="0.35">
      <c r="A789" t="s">
        <v>0</v>
      </c>
      <c r="B789" t="s">
        <v>2148</v>
      </c>
      <c r="C789" t="s">
        <v>2139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</row>
    <row r="790" spans="1:9" x14ac:dyDescent="0.35">
      <c r="A790" t="s">
        <v>0</v>
      </c>
      <c r="B790" t="s">
        <v>2149</v>
      </c>
      <c r="C790" t="s">
        <v>2141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</row>
    <row r="791" spans="1:9" x14ac:dyDescent="0.35">
      <c r="A791" t="s">
        <v>0</v>
      </c>
      <c r="B791" t="s">
        <v>2150</v>
      </c>
      <c r="C791" t="s">
        <v>2143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</row>
    <row r="792" spans="1:9" x14ac:dyDescent="0.35">
      <c r="A792" t="s">
        <v>0</v>
      </c>
      <c r="B792" t="s">
        <v>2151</v>
      </c>
      <c r="C792" t="s">
        <v>2145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</row>
    <row r="793" spans="1:9" x14ac:dyDescent="0.35">
      <c r="A793" t="s">
        <v>0</v>
      </c>
      <c r="B793" t="s">
        <v>2152</v>
      </c>
      <c r="C793" t="s">
        <v>2147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</row>
    <row r="794" spans="1:9" x14ac:dyDescent="0.35">
      <c r="A794" t="s">
        <v>0</v>
      </c>
      <c r="B794" t="s">
        <v>2153</v>
      </c>
      <c r="C794" t="s">
        <v>2154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</row>
    <row r="795" spans="1:9" x14ac:dyDescent="0.35">
      <c r="A795" t="s">
        <v>0</v>
      </c>
      <c r="B795" t="s">
        <v>2155</v>
      </c>
      <c r="C795" t="s">
        <v>2156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</row>
    <row r="796" spans="1:9" x14ac:dyDescent="0.35">
      <c r="A796" t="s">
        <v>0</v>
      </c>
      <c r="B796" t="s">
        <v>2157</v>
      </c>
      <c r="C796" t="s">
        <v>2158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</row>
    <row r="797" spans="1:9" x14ac:dyDescent="0.35">
      <c r="A797" t="s">
        <v>0</v>
      </c>
      <c r="B797" t="s">
        <v>2159</v>
      </c>
      <c r="C797" t="s">
        <v>2158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</row>
    <row r="798" spans="1:9" x14ac:dyDescent="0.35">
      <c r="A798" t="s">
        <v>0</v>
      </c>
      <c r="B798" t="s">
        <v>2160</v>
      </c>
      <c r="C798" t="s">
        <v>2161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</row>
    <row r="799" spans="1:9" x14ac:dyDescent="0.35">
      <c r="A799" t="s">
        <v>0</v>
      </c>
      <c r="B799" t="s">
        <v>2162</v>
      </c>
      <c r="C799" t="s">
        <v>2163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</row>
    <row r="800" spans="1:9" x14ac:dyDescent="0.35">
      <c r="A800" t="s">
        <v>0</v>
      </c>
      <c r="B800" t="s">
        <v>2164</v>
      </c>
      <c r="C800" t="s">
        <v>2165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</row>
    <row r="801" spans="1:9" x14ac:dyDescent="0.35">
      <c r="A801" t="s">
        <v>0</v>
      </c>
      <c r="B801" t="s">
        <v>2166</v>
      </c>
      <c r="C801" t="s">
        <v>2167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</row>
    <row r="802" spans="1:9" x14ac:dyDescent="0.35">
      <c r="A802" t="s">
        <v>0</v>
      </c>
      <c r="B802" t="s">
        <v>2168</v>
      </c>
      <c r="C802" t="s">
        <v>2167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</row>
    <row r="803" spans="1:9" x14ac:dyDescent="0.35">
      <c r="A803" t="s">
        <v>0</v>
      </c>
      <c r="B803" t="s">
        <v>2169</v>
      </c>
      <c r="C803" t="s">
        <v>2170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</row>
    <row r="804" spans="1:9" x14ac:dyDescent="0.35">
      <c r="A804" t="s">
        <v>0</v>
      </c>
      <c r="B804" t="s">
        <v>2171</v>
      </c>
      <c r="C804" t="s">
        <v>2172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</row>
    <row r="805" spans="1:9" x14ac:dyDescent="0.35">
      <c r="A805" t="s">
        <v>0</v>
      </c>
      <c r="B805" t="s">
        <v>2173</v>
      </c>
      <c r="C805" t="s">
        <v>2172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</row>
    <row r="806" spans="1:9" x14ac:dyDescent="0.35">
      <c r="A806" t="s">
        <v>0</v>
      </c>
      <c r="B806" t="s">
        <v>2174</v>
      </c>
      <c r="C806" t="s">
        <v>2172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</row>
    <row r="807" spans="1:9" x14ac:dyDescent="0.35">
      <c r="A807" t="s">
        <v>0</v>
      </c>
      <c r="B807" t="s">
        <v>2175</v>
      </c>
      <c r="C807" t="s">
        <v>2172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</row>
    <row r="808" spans="1:9" x14ac:dyDescent="0.35">
      <c r="A808" t="s">
        <v>0</v>
      </c>
      <c r="B808" t="s">
        <v>2176</v>
      </c>
      <c r="C808" t="s">
        <v>2172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</row>
    <row r="809" spans="1:9" x14ac:dyDescent="0.35">
      <c r="A809" t="s">
        <v>0</v>
      </c>
      <c r="B809" t="s">
        <v>2177</v>
      </c>
      <c r="C809" t="s">
        <v>2178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</row>
    <row r="810" spans="1:9" x14ac:dyDescent="0.35">
      <c r="A810" t="s">
        <v>0</v>
      </c>
      <c r="B810" t="s">
        <v>2179</v>
      </c>
      <c r="C810" t="s">
        <v>2178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</row>
    <row r="811" spans="1:9" x14ac:dyDescent="0.35">
      <c r="A811" t="s">
        <v>0</v>
      </c>
      <c r="B811" t="s">
        <v>2180</v>
      </c>
      <c r="C811" t="s">
        <v>2178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</row>
    <row r="812" spans="1:9" x14ac:dyDescent="0.35">
      <c r="A812" t="s">
        <v>0</v>
      </c>
      <c r="B812" t="s">
        <v>2181</v>
      </c>
      <c r="C812" t="s">
        <v>2178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</row>
    <row r="813" spans="1:9" x14ac:dyDescent="0.35">
      <c r="A813" t="s">
        <v>0</v>
      </c>
      <c r="B813" t="s">
        <v>2182</v>
      </c>
      <c r="C813" t="s">
        <v>2178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</row>
    <row r="814" spans="1:9" x14ac:dyDescent="0.35">
      <c r="A814" t="s">
        <v>0</v>
      </c>
      <c r="B814" t="s">
        <v>2183</v>
      </c>
      <c r="C814" t="s">
        <v>934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</row>
    <row r="815" spans="1:9" x14ac:dyDescent="0.35">
      <c r="A815" t="s">
        <v>0</v>
      </c>
      <c r="B815" t="s">
        <v>2184</v>
      </c>
      <c r="C815" t="s">
        <v>2185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</row>
    <row r="816" spans="1:9" x14ac:dyDescent="0.35">
      <c r="A816" t="s">
        <v>0</v>
      </c>
      <c r="B816" t="s">
        <v>2186</v>
      </c>
      <c r="C816" t="s">
        <v>2187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</row>
    <row r="817" spans="1:9" x14ac:dyDescent="0.35">
      <c r="A817" t="s">
        <v>0</v>
      </c>
      <c r="B817" t="s">
        <v>2188</v>
      </c>
      <c r="C817" t="s">
        <v>2189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</row>
    <row r="818" spans="1:9" x14ac:dyDescent="0.35">
      <c r="A818" t="s">
        <v>0</v>
      </c>
      <c r="B818" t="s">
        <v>2190</v>
      </c>
      <c r="C818" t="s">
        <v>2191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</row>
    <row r="819" spans="1:9" x14ac:dyDescent="0.35">
      <c r="A819" t="s">
        <v>0</v>
      </c>
      <c r="B819" t="s">
        <v>2192</v>
      </c>
      <c r="C819" t="s">
        <v>944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</row>
    <row r="820" spans="1:9" x14ac:dyDescent="0.35">
      <c r="A820" t="s">
        <v>0</v>
      </c>
      <c r="B820" t="s">
        <v>2193</v>
      </c>
      <c r="C820" t="s">
        <v>2194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</row>
    <row r="821" spans="1:9" x14ac:dyDescent="0.35">
      <c r="A821" t="s">
        <v>0</v>
      </c>
      <c r="B821" t="s">
        <v>2195</v>
      </c>
      <c r="C821" t="s">
        <v>2196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</row>
    <row r="822" spans="1:9" x14ac:dyDescent="0.35">
      <c r="A822" t="s">
        <v>0</v>
      </c>
      <c r="B822" t="s">
        <v>2197</v>
      </c>
      <c r="C822" t="s">
        <v>2198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</row>
    <row r="823" spans="1:9" x14ac:dyDescent="0.35">
      <c r="A823" t="s">
        <v>0</v>
      </c>
      <c r="B823" t="s">
        <v>2199</v>
      </c>
      <c r="C823" t="s">
        <v>2200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</row>
    <row r="824" spans="1:9" x14ac:dyDescent="0.35">
      <c r="A824" t="s">
        <v>0</v>
      </c>
      <c r="B824" t="s">
        <v>2201</v>
      </c>
      <c r="C824" t="s">
        <v>2202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</row>
    <row r="825" spans="1:9" x14ac:dyDescent="0.35">
      <c r="A825" t="s">
        <v>0</v>
      </c>
      <c r="B825" t="s">
        <v>2203</v>
      </c>
      <c r="C825" t="s">
        <v>2204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</row>
    <row r="826" spans="1:9" x14ac:dyDescent="0.35">
      <c r="A826" t="s">
        <v>0</v>
      </c>
      <c r="B826" t="s">
        <v>2205</v>
      </c>
      <c r="C826" t="s">
        <v>2206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</row>
    <row r="827" spans="1:9" x14ac:dyDescent="0.35">
      <c r="A827" t="s">
        <v>0</v>
      </c>
      <c r="B827" t="s">
        <v>2207</v>
      </c>
      <c r="C827" t="s">
        <v>2208</v>
      </c>
      <c r="D827">
        <v>0</v>
      </c>
      <c r="E827">
        <v>0</v>
      </c>
      <c r="F827">
        <v>808.29</v>
      </c>
      <c r="G827">
        <v>0</v>
      </c>
      <c r="H827">
        <v>808.29</v>
      </c>
      <c r="I827">
        <v>0</v>
      </c>
    </row>
    <row r="828" spans="1:9" x14ac:dyDescent="0.35">
      <c r="A828" t="s">
        <v>0</v>
      </c>
      <c r="B828" t="s">
        <v>2209</v>
      </c>
      <c r="C828" t="s">
        <v>2210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</row>
    <row r="829" spans="1:9" x14ac:dyDescent="0.35">
      <c r="A829" t="s">
        <v>0</v>
      </c>
      <c r="B829" t="s">
        <v>2211</v>
      </c>
      <c r="C829" t="s">
        <v>2212</v>
      </c>
      <c r="D829">
        <v>0</v>
      </c>
      <c r="E829">
        <v>0</v>
      </c>
      <c r="F829">
        <v>1819132.31</v>
      </c>
      <c r="G829">
        <v>-145374.95000000001</v>
      </c>
      <c r="H829">
        <v>1673757.36</v>
      </c>
      <c r="I829">
        <v>0</v>
      </c>
    </row>
    <row r="830" spans="1:9" x14ac:dyDescent="0.35">
      <c r="A830" t="s">
        <v>0</v>
      </c>
      <c r="B830" t="s">
        <v>2213</v>
      </c>
      <c r="C830" t="s">
        <v>2214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</row>
    <row r="831" spans="1:9" x14ac:dyDescent="0.35">
      <c r="A831" t="s">
        <v>0</v>
      </c>
      <c r="B831" t="s">
        <v>2215</v>
      </c>
      <c r="C831" t="s">
        <v>2216</v>
      </c>
      <c r="D831">
        <v>0</v>
      </c>
      <c r="E831">
        <v>0</v>
      </c>
      <c r="F831">
        <v>943746.41</v>
      </c>
      <c r="G831">
        <v>-181311</v>
      </c>
      <c r="H831">
        <v>762435.41</v>
      </c>
      <c r="I831">
        <v>0</v>
      </c>
    </row>
    <row r="832" spans="1:9" x14ac:dyDescent="0.35">
      <c r="A832" t="s">
        <v>0</v>
      </c>
      <c r="B832" t="s">
        <v>2217</v>
      </c>
      <c r="C832" t="s">
        <v>2218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</row>
    <row r="833" spans="1:9" x14ac:dyDescent="0.35">
      <c r="A833" t="s">
        <v>0</v>
      </c>
      <c r="B833" t="s">
        <v>2219</v>
      </c>
      <c r="C833" t="s">
        <v>2220</v>
      </c>
      <c r="D833">
        <v>0</v>
      </c>
      <c r="E833">
        <v>0</v>
      </c>
      <c r="F833">
        <v>8928235.4100000001</v>
      </c>
      <c r="G833">
        <v>-7583399.5599999996</v>
      </c>
      <c r="H833">
        <v>1344835.85</v>
      </c>
      <c r="I833">
        <v>0</v>
      </c>
    </row>
    <row r="834" spans="1:9" x14ac:dyDescent="0.35">
      <c r="A834" t="s">
        <v>0</v>
      </c>
      <c r="B834" t="s">
        <v>2221</v>
      </c>
      <c r="C834" t="s">
        <v>2222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</row>
    <row r="835" spans="1:9" x14ac:dyDescent="0.35">
      <c r="A835" t="s">
        <v>0</v>
      </c>
      <c r="B835" t="s">
        <v>2223</v>
      </c>
      <c r="C835" t="s">
        <v>2224</v>
      </c>
      <c r="D835">
        <v>0</v>
      </c>
      <c r="E835">
        <v>0</v>
      </c>
      <c r="F835">
        <v>548486.69999999995</v>
      </c>
      <c r="G835">
        <v>-355952.93</v>
      </c>
      <c r="H835">
        <v>192533.77</v>
      </c>
      <c r="I835">
        <v>0</v>
      </c>
    </row>
    <row r="836" spans="1:9" x14ac:dyDescent="0.35">
      <c r="A836" t="s">
        <v>0</v>
      </c>
      <c r="B836" t="s">
        <v>2225</v>
      </c>
      <c r="C836" t="s">
        <v>2226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</row>
    <row r="837" spans="1:9" x14ac:dyDescent="0.35">
      <c r="A837" t="s">
        <v>0</v>
      </c>
      <c r="B837" t="s">
        <v>2227</v>
      </c>
      <c r="C837" t="s">
        <v>2228</v>
      </c>
      <c r="D837">
        <v>0</v>
      </c>
      <c r="E837">
        <v>0</v>
      </c>
      <c r="F837">
        <v>703427.45</v>
      </c>
      <c r="G837">
        <v>-398418.45</v>
      </c>
      <c r="H837">
        <v>305009</v>
      </c>
      <c r="I837">
        <v>0</v>
      </c>
    </row>
    <row r="838" spans="1:9" x14ac:dyDescent="0.35">
      <c r="A838" t="s">
        <v>0</v>
      </c>
      <c r="B838" t="s">
        <v>2229</v>
      </c>
      <c r="C838" t="s">
        <v>2230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</row>
    <row r="839" spans="1:9" x14ac:dyDescent="0.35">
      <c r="A839" t="s">
        <v>0</v>
      </c>
      <c r="B839" t="s">
        <v>2231</v>
      </c>
      <c r="C839" t="s">
        <v>2232</v>
      </c>
      <c r="D839">
        <v>0</v>
      </c>
      <c r="E839">
        <v>0</v>
      </c>
      <c r="F839">
        <v>29744082.02</v>
      </c>
      <c r="G839">
        <v>-29930966.98</v>
      </c>
      <c r="H839">
        <v>0</v>
      </c>
      <c r="I839">
        <v>-186884.96</v>
      </c>
    </row>
    <row r="840" spans="1:9" x14ac:dyDescent="0.35">
      <c r="A840" t="s">
        <v>0</v>
      </c>
      <c r="B840" t="s">
        <v>2233</v>
      </c>
      <c r="C840" t="s">
        <v>2234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</row>
    <row r="841" spans="1:9" x14ac:dyDescent="0.35">
      <c r="A841" t="s">
        <v>0</v>
      </c>
      <c r="B841" t="s">
        <v>2235</v>
      </c>
      <c r="C841" t="s">
        <v>2236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</row>
    <row r="842" spans="1:9" x14ac:dyDescent="0.35">
      <c r="A842" t="s">
        <v>0</v>
      </c>
      <c r="B842" t="s">
        <v>2237</v>
      </c>
      <c r="C842" t="s">
        <v>2238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</row>
    <row r="843" spans="1:9" x14ac:dyDescent="0.35">
      <c r="A843" t="s">
        <v>0</v>
      </c>
      <c r="B843" t="s">
        <v>2239</v>
      </c>
      <c r="C843" t="s">
        <v>2240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</row>
    <row r="844" spans="1:9" x14ac:dyDescent="0.35">
      <c r="A844" t="s">
        <v>0</v>
      </c>
      <c r="B844" t="s">
        <v>2241</v>
      </c>
      <c r="C844" t="s">
        <v>2242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</row>
    <row r="845" spans="1:9" x14ac:dyDescent="0.35">
      <c r="A845" t="s">
        <v>0</v>
      </c>
      <c r="B845" t="s">
        <v>2243</v>
      </c>
      <c r="C845" t="s">
        <v>2242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</row>
    <row r="846" spans="1:9" x14ac:dyDescent="0.35">
      <c r="A846" t="s">
        <v>0</v>
      </c>
      <c r="B846" t="s">
        <v>2244</v>
      </c>
      <c r="C846" t="s">
        <v>2245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</row>
    <row r="847" spans="1:9" x14ac:dyDescent="0.35">
      <c r="A847" t="s">
        <v>0</v>
      </c>
      <c r="B847" t="s">
        <v>2246</v>
      </c>
      <c r="C847" t="s">
        <v>2247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</row>
    <row r="848" spans="1:9" x14ac:dyDescent="0.35">
      <c r="A848" t="s">
        <v>0</v>
      </c>
      <c r="B848" t="s">
        <v>2248</v>
      </c>
      <c r="C848" t="s">
        <v>2249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</row>
    <row r="849" spans="1:9" x14ac:dyDescent="0.35">
      <c r="A849" t="s">
        <v>0</v>
      </c>
      <c r="B849" t="s">
        <v>2250</v>
      </c>
      <c r="C849" t="s">
        <v>2251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</row>
    <row r="850" spans="1:9" x14ac:dyDescent="0.35">
      <c r="A850" t="s">
        <v>0</v>
      </c>
      <c r="B850" t="s">
        <v>2252</v>
      </c>
      <c r="C850" t="s">
        <v>2253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</row>
    <row r="851" spans="1:9" x14ac:dyDescent="0.35">
      <c r="A851" t="s">
        <v>0</v>
      </c>
      <c r="B851" t="s">
        <v>2254</v>
      </c>
      <c r="C851" t="s">
        <v>2253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</row>
    <row r="852" spans="1:9" x14ac:dyDescent="0.35">
      <c r="A852" t="s">
        <v>0</v>
      </c>
      <c r="B852" t="s">
        <v>2255</v>
      </c>
      <c r="C852" t="s">
        <v>2256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</row>
    <row r="853" spans="1:9" x14ac:dyDescent="0.35">
      <c r="A853" t="s">
        <v>0</v>
      </c>
      <c r="B853" t="s">
        <v>2257</v>
      </c>
      <c r="C853" t="s">
        <v>2258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</row>
    <row r="854" spans="1:9" x14ac:dyDescent="0.35">
      <c r="A854" t="s">
        <v>0</v>
      </c>
      <c r="B854" t="s">
        <v>2259</v>
      </c>
      <c r="C854" t="s">
        <v>2260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</row>
    <row r="855" spans="1:9" x14ac:dyDescent="0.35">
      <c r="A855" t="s">
        <v>0</v>
      </c>
      <c r="B855" t="s">
        <v>2261</v>
      </c>
      <c r="C855" t="s">
        <v>2262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</row>
    <row r="856" spans="1:9" x14ac:dyDescent="0.35">
      <c r="A856" t="s">
        <v>0</v>
      </c>
      <c r="B856" t="s">
        <v>2263</v>
      </c>
      <c r="C856" t="s">
        <v>2264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</row>
    <row r="857" spans="1:9" x14ac:dyDescent="0.35">
      <c r="A857" t="s">
        <v>0</v>
      </c>
      <c r="B857" t="s">
        <v>2265</v>
      </c>
      <c r="C857" t="s">
        <v>2266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</row>
    <row r="858" spans="1:9" x14ac:dyDescent="0.35">
      <c r="A858" t="s">
        <v>0</v>
      </c>
      <c r="B858" t="s">
        <v>2267</v>
      </c>
      <c r="C858" t="s">
        <v>2268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</row>
    <row r="859" spans="1:9" x14ac:dyDescent="0.35">
      <c r="A859" t="s">
        <v>0</v>
      </c>
      <c r="B859" t="s">
        <v>2269</v>
      </c>
      <c r="C859" t="s">
        <v>2270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</row>
    <row r="860" spans="1:9" x14ac:dyDescent="0.35">
      <c r="A860" t="s">
        <v>0</v>
      </c>
      <c r="B860" t="s">
        <v>2271</v>
      </c>
      <c r="C860" t="s">
        <v>2272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</row>
    <row r="861" spans="1:9" x14ac:dyDescent="0.35">
      <c r="A861" t="s">
        <v>0</v>
      </c>
      <c r="B861" t="s">
        <v>2273</v>
      </c>
      <c r="C861" t="s">
        <v>2274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</row>
    <row r="862" spans="1:9" x14ac:dyDescent="0.35">
      <c r="A862" t="s">
        <v>0</v>
      </c>
      <c r="B862" t="s">
        <v>2275</v>
      </c>
      <c r="C862" t="s">
        <v>2276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</row>
    <row r="863" spans="1:9" x14ac:dyDescent="0.35">
      <c r="A863" t="s">
        <v>0</v>
      </c>
      <c r="B863" t="s">
        <v>2277</v>
      </c>
      <c r="C863" t="s">
        <v>2278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</row>
    <row r="864" spans="1:9" x14ac:dyDescent="0.35">
      <c r="A864" t="s">
        <v>0</v>
      </c>
      <c r="B864" t="s">
        <v>2279</v>
      </c>
      <c r="C864" t="s">
        <v>2280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</row>
    <row r="865" spans="1:9" x14ac:dyDescent="0.35">
      <c r="A865" t="s">
        <v>0</v>
      </c>
      <c r="B865" t="s">
        <v>2281</v>
      </c>
      <c r="C865" t="s">
        <v>2282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</row>
    <row r="866" spans="1:9" x14ac:dyDescent="0.35">
      <c r="A866" t="s">
        <v>0</v>
      </c>
      <c r="B866" t="s">
        <v>2283</v>
      </c>
      <c r="C866" t="s">
        <v>2284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</row>
    <row r="867" spans="1:9" x14ac:dyDescent="0.35">
      <c r="A867" t="s">
        <v>0</v>
      </c>
      <c r="B867" t="s">
        <v>2285</v>
      </c>
      <c r="C867" t="s">
        <v>2286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</row>
    <row r="868" spans="1:9" x14ac:dyDescent="0.35">
      <c r="A868" t="s">
        <v>0</v>
      </c>
      <c r="B868" t="s">
        <v>2287</v>
      </c>
      <c r="C868" t="s">
        <v>2288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</row>
    <row r="869" spans="1:9" x14ac:dyDescent="0.35">
      <c r="A869" t="s">
        <v>0</v>
      </c>
      <c r="B869" t="s">
        <v>2289</v>
      </c>
      <c r="C869" t="s">
        <v>2288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</row>
    <row r="870" spans="1:9" x14ac:dyDescent="0.35">
      <c r="A870" t="s">
        <v>0</v>
      </c>
      <c r="B870" t="s">
        <v>2290</v>
      </c>
      <c r="C870" t="s">
        <v>2291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</row>
    <row r="871" spans="1:9" x14ac:dyDescent="0.35">
      <c r="A871" t="s">
        <v>0</v>
      </c>
      <c r="B871" t="s">
        <v>2292</v>
      </c>
      <c r="C871" t="s">
        <v>2293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</row>
    <row r="872" spans="1:9" x14ac:dyDescent="0.35">
      <c r="A872" t="s">
        <v>0</v>
      </c>
      <c r="B872" t="s">
        <v>2294</v>
      </c>
      <c r="C872" t="s">
        <v>2295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</row>
    <row r="873" spans="1:9" x14ac:dyDescent="0.35">
      <c r="A873" t="s">
        <v>0</v>
      </c>
      <c r="B873" t="s">
        <v>2296</v>
      </c>
      <c r="C873" t="s">
        <v>2297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</row>
    <row r="874" spans="1:9" x14ac:dyDescent="0.35">
      <c r="A874" t="s">
        <v>0</v>
      </c>
      <c r="B874" t="s">
        <v>2298</v>
      </c>
      <c r="C874" t="s">
        <v>2299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</row>
    <row r="875" spans="1:9" x14ac:dyDescent="0.35">
      <c r="A875" t="s">
        <v>0</v>
      </c>
      <c r="B875" t="s">
        <v>2300</v>
      </c>
      <c r="C875" t="s">
        <v>2301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</row>
    <row r="876" spans="1:9" x14ac:dyDescent="0.35">
      <c r="A876" t="s">
        <v>0</v>
      </c>
      <c r="B876" t="s">
        <v>2302</v>
      </c>
      <c r="C876" t="s">
        <v>2303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</row>
    <row r="877" spans="1:9" x14ac:dyDescent="0.35">
      <c r="A877" t="s">
        <v>0</v>
      </c>
      <c r="B877" t="s">
        <v>2304</v>
      </c>
      <c r="C877" t="s">
        <v>2305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</row>
    <row r="878" spans="1:9" x14ac:dyDescent="0.35">
      <c r="A878" t="s">
        <v>0</v>
      </c>
      <c r="B878" t="s">
        <v>2306</v>
      </c>
      <c r="C878" t="s">
        <v>2307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</row>
    <row r="879" spans="1:9" x14ac:dyDescent="0.35">
      <c r="A879" t="s">
        <v>0</v>
      </c>
      <c r="B879" t="s">
        <v>2308</v>
      </c>
      <c r="C879" t="s">
        <v>2309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</row>
    <row r="880" spans="1:9" x14ac:dyDescent="0.35">
      <c r="A880" t="s">
        <v>0</v>
      </c>
      <c r="B880" t="s">
        <v>2310</v>
      </c>
      <c r="C880" t="s">
        <v>2311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</row>
    <row r="881" spans="1:9" x14ac:dyDescent="0.35">
      <c r="A881" t="s">
        <v>0</v>
      </c>
      <c r="B881" t="s">
        <v>2312</v>
      </c>
      <c r="C881" t="s">
        <v>2311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</row>
    <row r="882" spans="1:9" x14ac:dyDescent="0.35">
      <c r="A882" t="s">
        <v>0</v>
      </c>
      <c r="B882" t="s">
        <v>2313</v>
      </c>
      <c r="C882" t="s">
        <v>2314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</row>
    <row r="883" spans="1:9" x14ac:dyDescent="0.35">
      <c r="A883" t="s">
        <v>0</v>
      </c>
      <c r="B883" t="s">
        <v>2315</v>
      </c>
      <c r="C883" t="s">
        <v>2316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</row>
    <row r="884" spans="1:9" x14ac:dyDescent="0.35">
      <c r="A884" t="s">
        <v>0</v>
      </c>
      <c r="B884" t="s">
        <v>2317</v>
      </c>
      <c r="C884" t="s">
        <v>2318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</row>
    <row r="885" spans="1:9" x14ac:dyDescent="0.35">
      <c r="A885" t="s">
        <v>0</v>
      </c>
      <c r="B885" t="s">
        <v>2319</v>
      </c>
      <c r="C885" t="s">
        <v>2320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</row>
    <row r="886" spans="1:9" x14ac:dyDescent="0.35">
      <c r="A886" t="s">
        <v>0</v>
      </c>
      <c r="B886" t="s">
        <v>2321</v>
      </c>
      <c r="C886" t="s">
        <v>2322</v>
      </c>
      <c r="D886">
        <v>0</v>
      </c>
      <c r="E886">
        <v>0</v>
      </c>
      <c r="F886">
        <v>2339</v>
      </c>
      <c r="G886">
        <v>-2339</v>
      </c>
      <c r="H886">
        <v>0</v>
      </c>
      <c r="I886">
        <v>0</v>
      </c>
    </row>
    <row r="887" spans="1:9" x14ac:dyDescent="0.35">
      <c r="A887" t="s">
        <v>0</v>
      </c>
      <c r="B887" t="s">
        <v>2323</v>
      </c>
      <c r="C887" t="s">
        <v>2324</v>
      </c>
      <c r="D887">
        <v>0</v>
      </c>
      <c r="E887">
        <v>0</v>
      </c>
      <c r="F887">
        <v>38022483.219999999</v>
      </c>
      <c r="G887">
        <v>-38183876.369999997</v>
      </c>
      <c r="H887">
        <v>0</v>
      </c>
      <c r="I887">
        <v>-161393.15</v>
      </c>
    </row>
    <row r="888" spans="1:9" x14ac:dyDescent="0.35">
      <c r="A888" t="s">
        <v>0</v>
      </c>
      <c r="B888" t="s">
        <v>2325</v>
      </c>
      <c r="C888" t="s">
        <v>2326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</row>
    <row r="889" spans="1:9" x14ac:dyDescent="0.35">
      <c r="A889" t="s">
        <v>0</v>
      </c>
      <c r="B889" t="s">
        <v>2327</v>
      </c>
      <c r="C889" t="s">
        <v>2328</v>
      </c>
      <c r="D889">
        <v>0</v>
      </c>
      <c r="E889">
        <v>0</v>
      </c>
      <c r="F889">
        <v>3193.85</v>
      </c>
      <c r="G889">
        <v>-3820.85</v>
      </c>
      <c r="H889">
        <v>0</v>
      </c>
      <c r="I889">
        <v>-627</v>
      </c>
    </row>
    <row r="890" spans="1:9" x14ac:dyDescent="0.35">
      <c r="A890" t="s">
        <v>0</v>
      </c>
      <c r="B890" t="s">
        <v>2329</v>
      </c>
      <c r="C890" t="s">
        <v>2330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</row>
    <row r="891" spans="1:9" x14ac:dyDescent="0.35">
      <c r="A891" t="s">
        <v>0</v>
      </c>
      <c r="B891" t="s">
        <v>2331</v>
      </c>
      <c r="C891" t="s">
        <v>2332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</row>
    <row r="892" spans="1:9" x14ac:dyDescent="0.35">
      <c r="A892" t="s">
        <v>0</v>
      </c>
      <c r="B892" t="s">
        <v>2333</v>
      </c>
      <c r="C892" t="s">
        <v>2334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</row>
    <row r="893" spans="1:9" x14ac:dyDescent="0.35">
      <c r="A893" t="s">
        <v>0</v>
      </c>
      <c r="B893" t="s">
        <v>2335</v>
      </c>
      <c r="C893" t="s">
        <v>2336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</row>
    <row r="894" spans="1:9" x14ac:dyDescent="0.35">
      <c r="A894" t="s">
        <v>0</v>
      </c>
      <c r="B894" t="s">
        <v>2337</v>
      </c>
      <c r="C894" t="s">
        <v>2338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</row>
    <row r="895" spans="1:9" x14ac:dyDescent="0.35">
      <c r="A895" t="s">
        <v>0</v>
      </c>
      <c r="B895" t="s">
        <v>2339</v>
      </c>
      <c r="C895" t="s">
        <v>2340</v>
      </c>
      <c r="D895">
        <v>0</v>
      </c>
      <c r="E895">
        <v>0</v>
      </c>
      <c r="F895">
        <v>232454.48</v>
      </c>
      <c r="G895">
        <v>-232454.48</v>
      </c>
      <c r="H895">
        <v>0</v>
      </c>
      <c r="I895">
        <v>0</v>
      </c>
    </row>
    <row r="896" spans="1:9" x14ac:dyDescent="0.35">
      <c r="A896" t="s">
        <v>0</v>
      </c>
      <c r="B896" t="s">
        <v>2341</v>
      </c>
      <c r="C896" t="s">
        <v>2342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</row>
    <row r="897" spans="1:9" x14ac:dyDescent="0.35">
      <c r="A897" t="s">
        <v>0</v>
      </c>
      <c r="B897" t="s">
        <v>2343</v>
      </c>
      <c r="C897" t="s">
        <v>2344</v>
      </c>
      <c r="D897">
        <v>0</v>
      </c>
      <c r="E897">
        <v>0</v>
      </c>
      <c r="F897">
        <v>14814.65</v>
      </c>
      <c r="G897">
        <v>-10388.76</v>
      </c>
      <c r="H897">
        <v>4425.8900000000003</v>
      </c>
      <c r="I897">
        <v>0</v>
      </c>
    </row>
    <row r="898" spans="1:9" x14ac:dyDescent="0.35">
      <c r="A898" t="s">
        <v>0</v>
      </c>
      <c r="B898" t="s">
        <v>2345</v>
      </c>
      <c r="C898" t="s">
        <v>2346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</row>
    <row r="899" spans="1:9" x14ac:dyDescent="0.35">
      <c r="A899" t="s">
        <v>0</v>
      </c>
      <c r="B899" t="s">
        <v>2347</v>
      </c>
      <c r="C899" t="s">
        <v>2348</v>
      </c>
      <c r="D899">
        <v>0</v>
      </c>
      <c r="E899">
        <v>0</v>
      </c>
      <c r="F899">
        <v>108923.8</v>
      </c>
      <c r="G899">
        <v>-108923.8</v>
      </c>
      <c r="H899">
        <v>0</v>
      </c>
      <c r="I899">
        <v>0</v>
      </c>
    </row>
    <row r="900" spans="1:9" x14ac:dyDescent="0.35">
      <c r="A900" t="s">
        <v>0</v>
      </c>
      <c r="B900" t="s">
        <v>2349</v>
      </c>
      <c r="C900" t="s">
        <v>2350</v>
      </c>
      <c r="D900">
        <v>0</v>
      </c>
      <c r="E900">
        <v>0</v>
      </c>
      <c r="F900">
        <v>178828</v>
      </c>
      <c r="G900">
        <v>-178828</v>
      </c>
      <c r="H900">
        <v>0</v>
      </c>
      <c r="I900">
        <v>0</v>
      </c>
    </row>
    <row r="901" spans="1:9" x14ac:dyDescent="0.35">
      <c r="A901" t="s">
        <v>0</v>
      </c>
      <c r="B901" t="s">
        <v>2351</v>
      </c>
      <c r="C901" t="s">
        <v>2352</v>
      </c>
      <c r="D901">
        <v>0</v>
      </c>
      <c r="E901">
        <v>0</v>
      </c>
      <c r="F901">
        <v>639373.56000000006</v>
      </c>
      <c r="G901">
        <v>-639373.56000000006</v>
      </c>
      <c r="H901">
        <v>0</v>
      </c>
      <c r="I901">
        <v>0</v>
      </c>
    </row>
    <row r="902" spans="1:9" x14ac:dyDescent="0.35">
      <c r="A902" t="s">
        <v>0</v>
      </c>
      <c r="B902" t="s">
        <v>2353</v>
      </c>
      <c r="C902" t="s">
        <v>2354</v>
      </c>
      <c r="D902">
        <v>0</v>
      </c>
      <c r="E902">
        <v>0</v>
      </c>
      <c r="F902">
        <v>6611</v>
      </c>
      <c r="G902">
        <v>-6611</v>
      </c>
      <c r="H902">
        <v>0</v>
      </c>
      <c r="I902">
        <v>0</v>
      </c>
    </row>
    <row r="903" spans="1:9" x14ac:dyDescent="0.35">
      <c r="A903" t="s">
        <v>0</v>
      </c>
      <c r="B903" t="s">
        <v>2355</v>
      </c>
      <c r="C903" t="s">
        <v>2356</v>
      </c>
      <c r="D903">
        <v>0</v>
      </c>
      <c r="E903">
        <v>0</v>
      </c>
      <c r="F903">
        <v>12339298.800000001</v>
      </c>
      <c r="G903">
        <v>-12422048.02</v>
      </c>
      <c r="H903">
        <v>0</v>
      </c>
      <c r="I903">
        <v>-82749.22</v>
      </c>
    </row>
    <row r="904" spans="1:9" x14ac:dyDescent="0.35">
      <c r="A904" t="s">
        <v>0</v>
      </c>
      <c r="B904" t="s">
        <v>2357</v>
      </c>
      <c r="C904" t="s">
        <v>2358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</row>
    <row r="905" spans="1:9" x14ac:dyDescent="0.35">
      <c r="A905" t="s">
        <v>0</v>
      </c>
      <c r="B905" t="s">
        <v>2359</v>
      </c>
      <c r="C905" t="s">
        <v>2360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</row>
    <row r="906" spans="1:9" x14ac:dyDescent="0.35">
      <c r="A906" t="s">
        <v>0</v>
      </c>
      <c r="B906" t="s">
        <v>2361</v>
      </c>
      <c r="C906" t="s">
        <v>2362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</row>
    <row r="907" spans="1:9" x14ac:dyDescent="0.35">
      <c r="A907" t="s">
        <v>0</v>
      </c>
      <c r="B907" t="s">
        <v>2363</v>
      </c>
      <c r="C907" t="s">
        <v>2364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</row>
    <row r="908" spans="1:9" x14ac:dyDescent="0.35">
      <c r="A908" t="s">
        <v>0</v>
      </c>
      <c r="B908" t="s">
        <v>2365</v>
      </c>
      <c r="C908" t="s">
        <v>2366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</row>
    <row r="909" spans="1:9" x14ac:dyDescent="0.35">
      <c r="A909" t="s">
        <v>0</v>
      </c>
      <c r="B909" t="s">
        <v>2367</v>
      </c>
      <c r="C909" t="s">
        <v>2368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</row>
    <row r="910" spans="1:9" x14ac:dyDescent="0.35">
      <c r="A910" t="s">
        <v>0</v>
      </c>
      <c r="B910" t="s">
        <v>2369</v>
      </c>
      <c r="C910" t="s">
        <v>2370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</row>
    <row r="911" spans="1:9" x14ac:dyDescent="0.35">
      <c r="A911" t="s">
        <v>0</v>
      </c>
      <c r="B911" t="s">
        <v>2371</v>
      </c>
      <c r="C911" t="s">
        <v>2372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</row>
    <row r="912" spans="1:9" x14ac:dyDescent="0.35">
      <c r="A912" t="s">
        <v>0</v>
      </c>
      <c r="B912" t="s">
        <v>2373</v>
      </c>
      <c r="C912" t="s">
        <v>2374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</row>
    <row r="913" spans="1:9" x14ac:dyDescent="0.35">
      <c r="A913" t="s">
        <v>0</v>
      </c>
      <c r="B913" t="s">
        <v>2375</v>
      </c>
      <c r="C913" t="s">
        <v>2376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</row>
    <row r="914" spans="1:9" x14ac:dyDescent="0.35">
      <c r="A914" t="s">
        <v>0</v>
      </c>
      <c r="B914" t="s">
        <v>2377</v>
      </c>
      <c r="C914" t="s">
        <v>2378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</row>
    <row r="915" spans="1:9" x14ac:dyDescent="0.35">
      <c r="A915" t="s">
        <v>0</v>
      </c>
      <c r="B915" t="s">
        <v>2379</v>
      </c>
      <c r="C915" t="s">
        <v>2380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</row>
    <row r="916" spans="1:9" x14ac:dyDescent="0.35">
      <c r="A916" t="s">
        <v>0</v>
      </c>
      <c r="B916" t="s">
        <v>2381</v>
      </c>
      <c r="C916" t="s">
        <v>2382</v>
      </c>
      <c r="D916">
        <v>0</v>
      </c>
      <c r="E916">
        <v>0</v>
      </c>
      <c r="F916">
        <v>37219.800000000003</v>
      </c>
      <c r="G916">
        <v>-37219.800000000003</v>
      </c>
      <c r="H916">
        <v>0</v>
      </c>
      <c r="I916">
        <v>0</v>
      </c>
    </row>
    <row r="917" spans="1:9" x14ac:dyDescent="0.35">
      <c r="A917" t="s">
        <v>0</v>
      </c>
      <c r="B917" t="s">
        <v>2383</v>
      </c>
      <c r="C917" t="s">
        <v>2384</v>
      </c>
      <c r="D917">
        <v>0</v>
      </c>
      <c r="E917">
        <v>0</v>
      </c>
      <c r="F917">
        <v>319644.71999999997</v>
      </c>
      <c r="G917">
        <v>-319644.71999999997</v>
      </c>
      <c r="H917">
        <v>0</v>
      </c>
      <c r="I917">
        <v>0</v>
      </c>
    </row>
    <row r="918" spans="1:9" x14ac:dyDescent="0.35">
      <c r="A918" t="s">
        <v>0</v>
      </c>
      <c r="B918" t="s">
        <v>2385</v>
      </c>
      <c r="C918" t="s">
        <v>2386</v>
      </c>
      <c r="D918">
        <v>0</v>
      </c>
      <c r="E918">
        <v>0</v>
      </c>
      <c r="F918">
        <v>1020.06</v>
      </c>
      <c r="G918">
        <v>-1340</v>
      </c>
      <c r="H918">
        <v>0</v>
      </c>
      <c r="I918">
        <v>-319.94</v>
      </c>
    </row>
    <row r="919" spans="1:9" x14ac:dyDescent="0.35">
      <c r="A919" t="s">
        <v>0</v>
      </c>
      <c r="B919" t="s">
        <v>2387</v>
      </c>
      <c r="C919" t="s">
        <v>2388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</row>
    <row r="920" spans="1:9" x14ac:dyDescent="0.35">
      <c r="A920" t="s">
        <v>0</v>
      </c>
      <c r="B920" t="s">
        <v>2389</v>
      </c>
      <c r="C920" t="s">
        <v>2390</v>
      </c>
      <c r="D920">
        <v>0</v>
      </c>
      <c r="E920">
        <v>0</v>
      </c>
      <c r="F920">
        <v>5605.56</v>
      </c>
      <c r="G920">
        <v>0</v>
      </c>
      <c r="H920">
        <v>5605.56</v>
      </c>
      <c r="I920">
        <v>0</v>
      </c>
    </row>
    <row r="921" spans="1:9" x14ac:dyDescent="0.35">
      <c r="A921" t="s">
        <v>0</v>
      </c>
      <c r="B921" t="s">
        <v>2391</v>
      </c>
      <c r="C921" t="s">
        <v>2392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</row>
    <row r="922" spans="1:9" x14ac:dyDescent="0.35">
      <c r="A922" t="s">
        <v>0</v>
      </c>
      <c r="B922" t="s">
        <v>2393</v>
      </c>
      <c r="C922" t="s">
        <v>2394</v>
      </c>
      <c r="D922">
        <v>0</v>
      </c>
      <c r="E922">
        <v>0</v>
      </c>
      <c r="F922">
        <v>300</v>
      </c>
      <c r="G922">
        <v>0</v>
      </c>
      <c r="H922">
        <v>300</v>
      </c>
      <c r="I922">
        <v>0</v>
      </c>
    </row>
    <row r="923" spans="1:9" x14ac:dyDescent="0.35">
      <c r="A923" t="s">
        <v>0</v>
      </c>
      <c r="B923" t="s">
        <v>2395</v>
      </c>
      <c r="C923" t="s">
        <v>2396</v>
      </c>
      <c r="D923">
        <v>0</v>
      </c>
      <c r="E923">
        <v>0</v>
      </c>
      <c r="F923">
        <v>1884125.34</v>
      </c>
      <c r="G923">
        <v>-1939965.74</v>
      </c>
      <c r="H923">
        <v>0</v>
      </c>
      <c r="I923">
        <v>-55840.4</v>
      </c>
    </row>
    <row r="924" spans="1:9" x14ac:dyDescent="0.35">
      <c r="A924" t="s">
        <v>0</v>
      </c>
      <c r="B924" t="s">
        <v>2397</v>
      </c>
      <c r="C924" t="s">
        <v>2266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</row>
    <row r="925" spans="1:9" x14ac:dyDescent="0.35">
      <c r="A925" t="s">
        <v>0</v>
      </c>
      <c r="B925" t="s">
        <v>2398</v>
      </c>
      <c r="C925" t="s">
        <v>2399</v>
      </c>
      <c r="D925">
        <v>-6739062</v>
      </c>
      <c r="E925">
        <v>0</v>
      </c>
      <c r="F925">
        <v>0</v>
      </c>
      <c r="G925">
        <v>0</v>
      </c>
      <c r="H925">
        <v>0</v>
      </c>
      <c r="I925">
        <v>0</v>
      </c>
    </row>
    <row r="926" spans="1:9" x14ac:dyDescent="0.35">
      <c r="A926" t="s">
        <v>0</v>
      </c>
      <c r="B926" t="s">
        <v>2400</v>
      </c>
      <c r="C926" t="s">
        <v>2401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</row>
    <row r="927" spans="1:9" x14ac:dyDescent="0.35">
      <c r="A927" t="s">
        <v>0</v>
      </c>
      <c r="B927" t="s">
        <v>2402</v>
      </c>
      <c r="C927" t="s">
        <v>2403</v>
      </c>
      <c r="D927">
        <v>7639968</v>
      </c>
      <c r="E927">
        <v>0</v>
      </c>
      <c r="F927">
        <v>0</v>
      </c>
      <c r="G927">
        <v>0</v>
      </c>
      <c r="H927">
        <v>0</v>
      </c>
      <c r="I927">
        <v>0</v>
      </c>
    </row>
    <row r="928" spans="1:9" x14ac:dyDescent="0.35">
      <c r="A928" t="s">
        <v>0</v>
      </c>
      <c r="B928" t="s">
        <v>2404</v>
      </c>
      <c r="C928" t="s">
        <v>2405</v>
      </c>
      <c r="D928">
        <v>-283750</v>
      </c>
      <c r="E928">
        <v>0</v>
      </c>
      <c r="F928">
        <v>0</v>
      </c>
      <c r="G928">
        <v>0</v>
      </c>
      <c r="H928">
        <v>0</v>
      </c>
      <c r="I928">
        <v>0</v>
      </c>
    </row>
    <row r="929" spans="1:9" x14ac:dyDescent="0.35">
      <c r="A929" t="s">
        <v>0</v>
      </c>
      <c r="B929" t="s">
        <v>2406</v>
      </c>
      <c r="C929" t="s">
        <v>2407</v>
      </c>
      <c r="D929">
        <v>-35468</v>
      </c>
      <c r="E929">
        <v>0</v>
      </c>
      <c r="F929">
        <v>0</v>
      </c>
      <c r="G929">
        <v>0</v>
      </c>
      <c r="H929">
        <v>0</v>
      </c>
      <c r="I929">
        <v>0</v>
      </c>
    </row>
    <row r="930" spans="1:9" x14ac:dyDescent="0.35">
      <c r="A930" t="s">
        <v>0</v>
      </c>
      <c r="B930" t="s">
        <v>2408</v>
      </c>
      <c r="C930" t="s">
        <v>2409</v>
      </c>
      <c r="D930">
        <v>-70938</v>
      </c>
      <c r="E930">
        <v>0</v>
      </c>
      <c r="F930">
        <v>0</v>
      </c>
      <c r="G930">
        <v>0</v>
      </c>
      <c r="H930">
        <v>0</v>
      </c>
      <c r="I930">
        <v>0</v>
      </c>
    </row>
    <row r="931" spans="1:9" x14ac:dyDescent="0.35">
      <c r="A931" t="s">
        <v>0</v>
      </c>
      <c r="B931" t="s">
        <v>2410</v>
      </c>
      <c r="C931" t="s">
        <v>2411</v>
      </c>
      <c r="D931">
        <v>-177343</v>
      </c>
      <c r="E931">
        <v>0</v>
      </c>
      <c r="F931">
        <v>0</v>
      </c>
      <c r="G931">
        <v>0</v>
      </c>
      <c r="H931">
        <v>0</v>
      </c>
      <c r="I931">
        <v>0</v>
      </c>
    </row>
    <row r="932" spans="1:9" x14ac:dyDescent="0.35">
      <c r="A932" t="s">
        <v>0</v>
      </c>
      <c r="B932" t="s">
        <v>2412</v>
      </c>
      <c r="C932" t="s">
        <v>2413</v>
      </c>
      <c r="D932">
        <v>-17736</v>
      </c>
      <c r="E932">
        <v>0</v>
      </c>
      <c r="F932">
        <v>0</v>
      </c>
      <c r="G932">
        <v>0</v>
      </c>
      <c r="H932">
        <v>0</v>
      </c>
      <c r="I932">
        <v>0</v>
      </c>
    </row>
    <row r="933" spans="1:9" x14ac:dyDescent="0.35">
      <c r="A933" t="s">
        <v>0</v>
      </c>
      <c r="B933" t="s">
        <v>2414</v>
      </c>
      <c r="C933" t="s">
        <v>2415</v>
      </c>
      <c r="D933">
        <v>-26604</v>
      </c>
      <c r="E933">
        <v>0</v>
      </c>
      <c r="F933">
        <v>0</v>
      </c>
      <c r="G933">
        <v>0</v>
      </c>
      <c r="H933">
        <v>0</v>
      </c>
      <c r="I933">
        <v>0</v>
      </c>
    </row>
    <row r="934" spans="1:9" x14ac:dyDescent="0.35">
      <c r="A934" t="s">
        <v>0</v>
      </c>
      <c r="B934" t="s">
        <v>2416</v>
      </c>
      <c r="C934" t="s">
        <v>2417</v>
      </c>
      <c r="D934">
        <v>-212812</v>
      </c>
      <c r="E934">
        <v>0</v>
      </c>
      <c r="F934">
        <v>0</v>
      </c>
      <c r="G934">
        <v>0</v>
      </c>
      <c r="H934">
        <v>0</v>
      </c>
      <c r="I934">
        <v>0</v>
      </c>
    </row>
    <row r="935" spans="1:9" x14ac:dyDescent="0.35">
      <c r="A935" t="s">
        <v>0</v>
      </c>
      <c r="B935" t="s">
        <v>2418</v>
      </c>
      <c r="C935" t="s">
        <v>2419</v>
      </c>
      <c r="D935">
        <v>-17736</v>
      </c>
      <c r="E935">
        <v>0</v>
      </c>
      <c r="F935">
        <v>0</v>
      </c>
      <c r="G935">
        <v>0</v>
      </c>
      <c r="H935">
        <v>0</v>
      </c>
      <c r="I935">
        <v>0</v>
      </c>
    </row>
    <row r="936" spans="1:9" x14ac:dyDescent="0.35">
      <c r="A936" t="s">
        <v>0</v>
      </c>
      <c r="B936" t="s">
        <v>2420</v>
      </c>
      <c r="C936" t="s">
        <v>2421</v>
      </c>
      <c r="D936">
        <v>-35468</v>
      </c>
      <c r="E936">
        <v>0</v>
      </c>
      <c r="F936">
        <v>0</v>
      </c>
      <c r="G936">
        <v>0</v>
      </c>
      <c r="H936">
        <v>0</v>
      </c>
      <c r="I936">
        <v>0</v>
      </c>
    </row>
    <row r="937" spans="1:9" x14ac:dyDescent="0.35">
      <c r="A937" t="s">
        <v>0</v>
      </c>
      <c r="B937" t="s">
        <v>2422</v>
      </c>
      <c r="C937" t="s">
        <v>2423</v>
      </c>
      <c r="D937">
        <v>-7093</v>
      </c>
      <c r="E937">
        <v>0</v>
      </c>
      <c r="F937">
        <v>0</v>
      </c>
      <c r="G937">
        <v>0</v>
      </c>
      <c r="H937">
        <v>0</v>
      </c>
      <c r="I937">
        <v>0</v>
      </c>
    </row>
    <row r="938" spans="1:9" x14ac:dyDescent="0.35">
      <c r="A938" t="s">
        <v>0</v>
      </c>
      <c r="B938" t="s">
        <v>2424</v>
      </c>
      <c r="C938" t="s">
        <v>2425</v>
      </c>
      <c r="D938">
        <v>-35468</v>
      </c>
      <c r="E938">
        <v>0</v>
      </c>
      <c r="F938">
        <v>0</v>
      </c>
      <c r="G938">
        <v>0</v>
      </c>
      <c r="H938">
        <v>0</v>
      </c>
      <c r="I938">
        <v>0</v>
      </c>
    </row>
    <row r="939" spans="1:9" x14ac:dyDescent="0.35">
      <c r="A939" t="s">
        <v>0</v>
      </c>
      <c r="B939" t="s">
        <v>2426</v>
      </c>
      <c r="C939" t="s">
        <v>2427</v>
      </c>
      <c r="D939">
        <v>-127688</v>
      </c>
      <c r="E939">
        <v>0</v>
      </c>
      <c r="F939">
        <v>0</v>
      </c>
      <c r="G939">
        <v>0</v>
      </c>
      <c r="H939">
        <v>0</v>
      </c>
      <c r="I939">
        <v>0</v>
      </c>
    </row>
    <row r="940" spans="1:9" x14ac:dyDescent="0.35">
      <c r="A940" t="s">
        <v>0</v>
      </c>
      <c r="B940" t="s">
        <v>2428</v>
      </c>
      <c r="C940" t="s">
        <v>2429</v>
      </c>
      <c r="D940">
        <v>-177343</v>
      </c>
      <c r="E940">
        <v>0</v>
      </c>
      <c r="F940">
        <v>0</v>
      </c>
      <c r="G940">
        <v>0</v>
      </c>
      <c r="H940">
        <v>0</v>
      </c>
      <c r="I940">
        <v>0</v>
      </c>
    </row>
    <row r="941" spans="1:9" x14ac:dyDescent="0.35">
      <c r="A941" t="s">
        <v>0</v>
      </c>
      <c r="B941" t="s">
        <v>2430</v>
      </c>
      <c r="C941" t="s">
        <v>2431</v>
      </c>
      <c r="D941">
        <v>-354688</v>
      </c>
      <c r="E941">
        <v>0</v>
      </c>
      <c r="F941">
        <v>0</v>
      </c>
      <c r="G941">
        <v>0</v>
      </c>
      <c r="H941">
        <v>0</v>
      </c>
      <c r="I941">
        <v>0</v>
      </c>
    </row>
    <row r="942" spans="1:9" x14ac:dyDescent="0.35">
      <c r="A942" t="s">
        <v>0</v>
      </c>
      <c r="B942" t="s">
        <v>2432</v>
      </c>
      <c r="C942" t="s">
        <v>2433</v>
      </c>
      <c r="D942">
        <v>-70938</v>
      </c>
      <c r="E942">
        <v>0</v>
      </c>
      <c r="F942">
        <v>0</v>
      </c>
      <c r="G942">
        <v>0</v>
      </c>
      <c r="H942">
        <v>0</v>
      </c>
      <c r="I942">
        <v>0</v>
      </c>
    </row>
    <row r="943" spans="1:9" x14ac:dyDescent="0.35">
      <c r="A943" t="s">
        <v>0</v>
      </c>
      <c r="B943" t="s">
        <v>2434</v>
      </c>
      <c r="C943" t="s">
        <v>2435</v>
      </c>
      <c r="D943">
        <v>-17736</v>
      </c>
      <c r="E943">
        <v>0</v>
      </c>
      <c r="F943">
        <v>0</v>
      </c>
      <c r="G943">
        <v>0</v>
      </c>
      <c r="H943">
        <v>0</v>
      </c>
      <c r="I943">
        <v>0</v>
      </c>
    </row>
    <row r="944" spans="1:9" x14ac:dyDescent="0.35">
      <c r="A944" t="s">
        <v>0</v>
      </c>
      <c r="B944" t="s">
        <v>2436</v>
      </c>
      <c r="C944" t="s">
        <v>2437</v>
      </c>
      <c r="D944">
        <v>-319218</v>
      </c>
      <c r="E944">
        <v>0</v>
      </c>
      <c r="F944">
        <v>0</v>
      </c>
      <c r="G944">
        <v>0</v>
      </c>
      <c r="H944">
        <v>0</v>
      </c>
      <c r="I944">
        <v>0</v>
      </c>
    </row>
    <row r="945" spans="1:9" x14ac:dyDescent="0.35">
      <c r="A945" t="s">
        <v>0</v>
      </c>
      <c r="B945" t="s">
        <v>2438</v>
      </c>
      <c r="C945" t="s">
        <v>2439</v>
      </c>
      <c r="D945">
        <v>-177343</v>
      </c>
      <c r="E945">
        <v>0</v>
      </c>
      <c r="F945">
        <v>0</v>
      </c>
      <c r="G945">
        <v>0</v>
      </c>
      <c r="H945">
        <v>0</v>
      </c>
      <c r="I945">
        <v>0</v>
      </c>
    </row>
    <row r="946" spans="1:9" x14ac:dyDescent="0.35">
      <c r="A946" t="s">
        <v>0</v>
      </c>
      <c r="B946" t="s">
        <v>2440</v>
      </c>
      <c r="C946" t="s">
        <v>2441</v>
      </c>
      <c r="D946">
        <v>-2128125</v>
      </c>
      <c r="E946">
        <v>0</v>
      </c>
      <c r="F946">
        <v>0</v>
      </c>
      <c r="G946">
        <v>0</v>
      </c>
      <c r="H946">
        <v>0</v>
      </c>
      <c r="I946">
        <v>0</v>
      </c>
    </row>
    <row r="947" spans="1:9" x14ac:dyDescent="0.35">
      <c r="A947" t="s">
        <v>0</v>
      </c>
      <c r="B947" t="s">
        <v>2442</v>
      </c>
      <c r="C947" t="s">
        <v>2443</v>
      </c>
      <c r="D947">
        <v>-2482812</v>
      </c>
      <c r="E947">
        <v>0</v>
      </c>
      <c r="F947">
        <v>0</v>
      </c>
      <c r="G947">
        <v>0</v>
      </c>
      <c r="H947">
        <v>0</v>
      </c>
      <c r="I947">
        <v>0</v>
      </c>
    </row>
    <row r="948" spans="1:9" x14ac:dyDescent="0.35">
      <c r="A948" t="s">
        <v>0</v>
      </c>
      <c r="B948" t="s">
        <v>2444</v>
      </c>
      <c r="C948" t="s">
        <v>2445</v>
      </c>
      <c r="D948">
        <v>-53202</v>
      </c>
      <c r="E948">
        <v>0</v>
      </c>
      <c r="F948">
        <v>0</v>
      </c>
      <c r="G948">
        <v>0</v>
      </c>
      <c r="H948">
        <v>0</v>
      </c>
      <c r="I948">
        <v>0</v>
      </c>
    </row>
    <row r="949" spans="1:9" x14ac:dyDescent="0.35">
      <c r="A949" t="s">
        <v>0</v>
      </c>
      <c r="B949" t="s">
        <v>2446</v>
      </c>
      <c r="C949" t="s">
        <v>2447</v>
      </c>
      <c r="D949">
        <v>-35468</v>
      </c>
      <c r="E949">
        <v>0</v>
      </c>
      <c r="F949">
        <v>0</v>
      </c>
      <c r="G949">
        <v>0</v>
      </c>
      <c r="H949">
        <v>0</v>
      </c>
      <c r="I949">
        <v>0</v>
      </c>
    </row>
    <row r="950" spans="1:9" x14ac:dyDescent="0.35">
      <c r="A950" t="s">
        <v>0</v>
      </c>
      <c r="B950" t="s">
        <v>2448</v>
      </c>
      <c r="C950" t="s">
        <v>2449</v>
      </c>
      <c r="D950">
        <v>-70938</v>
      </c>
      <c r="E950">
        <v>0</v>
      </c>
      <c r="F950">
        <v>0</v>
      </c>
      <c r="G950">
        <v>0</v>
      </c>
      <c r="H950">
        <v>0</v>
      </c>
      <c r="I950">
        <v>0</v>
      </c>
    </row>
    <row r="951" spans="1:9" x14ac:dyDescent="0.35">
      <c r="A951" t="s">
        <v>0</v>
      </c>
      <c r="B951" t="s">
        <v>2450</v>
      </c>
      <c r="C951" t="s">
        <v>2451</v>
      </c>
      <c r="D951">
        <v>1383282</v>
      </c>
      <c r="E951">
        <v>0</v>
      </c>
      <c r="F951">
        <v>0</v>
      </c>
      <c r="G951">
        <v>0</v>
      </c>
      <c r="H951">
        <v>0</v>
      </c>
      <c r="I951">
        <v>0</v>
      </c>
    </row>
    <row r="952" spans="1:9" x14ac:dyDescent="0.35">
      <c r="A952" t="s">
        <v>0</v>
      </c>
      <c r="B952" t="s">
        <v>2452</v>
      </c>
      <c r="C952" t="s">
        <v>2453</v>
      </c>
      <c r="D952">
        <v>-7093</v>
      </c>
      <c r="E952">
        <v>0</v>
      </c>
      <c r="F952">
        <v>0</v>
      </c>
      <c r="G952">
        <v>0</v>
      </c>
      <c r="H952">
        <v>0</v>
      </c>
      <c r="I952">
        <v>0</v>
      </c>
    </row>
    <row r="953" spans="1:9" x14ac:dyDescent="0.35">
      <c r="A953" t="s">
        <v>0</v>
      </c>
      <c r="B953" t="s">
        <v>2454</v>
      </c>
      <c r="C953" t="s">
        <v>2455</v>
      </c>
      <c r="D953">
        <v>-21282</v>
      </c>
      <c r="E953">
        <v>0</v>
      </c>
      <c r="F953">
        <v>0</v>
      </c>
      <c r="G953">
        <v>0</v>
      </c>
      <c r="H953">
        <v>0</v>
      </c>
      <c r="I953">
        <v>0</v>
      </c>
    </row>
    <row r="954" spans="1:9" x14ac:dyDescent="0.35">
      <c r="A954" t="s">
        <v>0</v>
      </c>
      <c r="B954" t="s">
        <v>2456</v>
      </c>
      <c r="C954" t="s">
        <v>2457</v>
      </c>
      <c r="D954">
        <v>-35468</v>
      </c>
      <c r="E954">
        <v>0</v>
      </c>
      <c r="F954">
        <v>0</v>
      </c>
      <c r="G954">
        <v>0</v>
      </c>
      <c r="H954">
        <v>0</v>
      </c>
      <c r="I954">
        <v>0</v>
      </c>
    </row>
    <row r="955" spans="1:9" x14ac:dyDescent="0.35">
      <c r="A955" t="s">
        <v>0</v>
      </c>
      <c r="B955" t="s">
        <v>2458</v>
      </c>
      <c r="C955" t="s">
        <v>2459</v>
      </c>
      <c r="D955">
        <v>-35468</v>
      </c>
      <c r="E955">
        <v>0</v>
      </c>
      <c r="F955">
        <v>0</v>
      </c>
      <c r="G955">
        <v>0</v>
      </c>
      <c r="H955">
        <v>0</v>
      </c>
      <c r="I955">
        <v>0</v>
      </c>
    </row>
    <row r="956" spans="1:9" x14ac:dyDescent="0.35">
      <c r="A956" t="s">
        <v>0</v>
      </c>
      <c r="B956" t="s">
        <v>2460</v>
      </c>
      <c r="C956" t="s">
        <v>2461</v>
      </c>
      <c r="D956">
        <v>-42562</v>
      </c>
      <c r="E956">
        <v>0</v>
      </c>
      <c r="F956">
        <v>0</v>
      </c>
      <c r="G956">
        <v>0</v>
      </c>
      <c r="H956">
        <v>0</v>
      </c>
      <c r="I956">
        <v>0</v>
      </c>
    </row>
    <row r="957" spans="1:9" x14ac:dyDescent="0.35">
      <c r="A957" t="s">
        <v>0</v>
      </c>
      <c r="B957" t="s">
        <v>2462</v>
      </c>
      <c r="C957" t="s">
        <v>2463</v>
      </c>
      <c r="D957">
        <v>-532032</v>
      </c>
      <c r="E957">
        <v>0</v>
      </c>
      <c r="F957">
        <v>0</v>
      </c>
      <c r="G957">
        <v>0</v>
      </c>
      <c r="H957">
        <v>0</v>
      </c>
      <c r="I957">
        <v>0</v>
      </c>
    </row>
    <row r="958" spans="1:9" x14ac:dyDescent="0.35">
      <c r="A958" t="s">
        <v>0</v>
      </c>
      <c r="B958" t="s">
        <v>2464</v>
      </c>
      <c r="C958" t="s">
        <v>2465</v>
      </c>
      <c r="D958">
        <v>-177343</v>
      </c>
      <c r="E958">
        <v>0</v>
      </c>
      <c r="F958">
        <v>0</v>
      </c>
      <c r="G958">
        <v>0</v>
      </c>
      <c r="H958">
        <v>0</v>
      </c>
      <c r="I958">
        <v>0</v>
      </c>
    </row>
    <row r="959" spans="1:9" x14ac:dyDescent="0.35">
      <c r="A959" t="s">
        <v>0</v>
      </c>
      <c r="B959" t="s">
        <v>2466</v>
      </c>
      <c r="C959" t="s">
        <v>2467</v>
      </c>
      <c r="D959">
        <v>-177343</v>
      </c>
      <c r="E959">
        <v>0</v>
      </c>
      <c r="F959">
        <v>0</v>
      </c>
      <c r="G959">
        <v>0</v>
      </c>
      <c r="H959">
        <v>0</v>
      </c>
      <c r="I959">
        <v>0</v>
      </c>
    </row>
    <row r="960" spans="1:9" x14ac:dyDescent="0.35">
      <c r="A960" t="s">
        <v>0</v>
      </c>
      <c r="B960" t="s">
        <v>2468</v>
      </c>
      <c r="C960" t="s">
        <v>2469</v>
      </c>
      <c r="D960">
        <v>-177343</v>
      </c>
      <c r="E960">
        <v>0</v>
      </c>
      <c r="F960">
        <v>0</v>
      </c>
      <c r="G960">
        <v>0</v>
      </c>
      <c r="H960">
        <v>0</v>
      </c>
      <c r="I960">
        <v>0</v>
      </c>
    </row>
    <row r="961" spans="1:9" x14ac:dyDescent="0.35">
      <c r="A961" t="s">
        <v>0</v>
      </c>
      <c r="B961" t="s">
        <v>2470</v>
      </c>
      <c r="C961" t="s">
        <v>2471</v>
      </c>
      <c r="D961">
        <v>-177343</v>
      </c>
      <c r="E961">
        <v>0</v>
      </c>
      <c r="F961">
        <v>0</v>
      </c>
      <c r="G961">
        <v>0</v>
      </c>
      <c r="H961">
        <v>0</v>
      </c>
      <c r="I961">
        <v>0</v>
      </c>
    </row>
    <row r="962" spans="1:9" x14ac:dyDescent="0.35">
      <c r="A962" t="s">
        <v>0</v>
      </c>
      <c r="B962" t="s">
        <v>2472</v>
      </c>
      <c r="C962" t="s">
        <v>2451</v>
      </c>
      <c r="D962">
        <v>1741514</v>
      </c>
      <c r="E962">
        <v>0</v>
      </c>
      <c r="F962">
        <v>0</v>
      </c>
      <c r="G962">
        <v>0</v>
      </c>
      <c r="H962">
        <v>0</v>
      </c>
      <c r="I962">
        <v>0</v>
      </c>
    </row>
    <row r="963" spans="1:9" x14ac:dyDescent="0.35">
      <c r="A963" t="s">
        <v>0</v>
      </c>
      <c r="B963" t="s">
        <v>2473</v>
      </c>
      <c r="C963" t="s">
        <v>2474</v>
      </c>
      <c r="D963">
        <v>-354688</v>
      </c>
      <c r="E963">
        <v>0</v>
      </c>
      <c r="F963">
        <v>0</v>
      </c>
      <c r="G963">
        <v>0</v>
      </c>
      <c r="H963">
        <v>0</v>
      </c>
      <c r="I963">
        <v>0</v>
      </c>
    </row>
    <row r="964" spans="1:9" x14ac:dyDescent="0.35">
      <c r="A964" t="s">
        <v>0</v>
      </c>
      <c r="B964" t="s">
        <v>2475</v>
      </c>
      <c r="C964" t="s">
        <v>2476</v>
      </c>
      <c r="D964">
        <v>-106407</v>
      </c>
      <c r="E964">
        <v>0</v>
      </c>
      <c r="F964">
        <v>0</v>
      </c>
      <c r="G964">
        <v>0</v>
      </c>
      <c r="H964">
        <v>0</v>
      </c>
      <c r="I964">
        <v>0</v>
      </c>
    </row>
    <row r="965" spans="1:9" x14ac:dyDescent="0.35">
      <c r="A965" t="s">
        <v>0</v>
      </c>
      <c r="B965" t="s">
        <v>2477</v>
      </c>
      <c r="C965" t="s">
        <v>2478</v>
      </c>
      <c r="D965">
        <v>-411438</v>
      </c>
      <c r="E965">
        <v>0</v>
      </c>
      <c r="F965">
        <v>0</v>
      </c>
      <c r="G965">
        <v>0</v>
      </c>
      <c r="H965">
        <v>0</v>
      </c>
      <c r="I965">
        <v>0</v>
      </c>
    </row>
    <row r="966" spans="1:9" x14ac:dyDescent="0.35">
      <c r="A966" t="s">
        <v>0</v>
      </c>
      <c r="B966" t="s">
        <v>2479</v>
      </c>
      <c r="C966" t="s">
        <v>2480</v>
      </c>
      <c r="D966">
        <v>-88673</v>
      </c>
      <c r="E966">
        <v>0</v>
      </c>
      <c r="F966">
        <v>0</v>
      </c>
      <c r="G966">
        <v>0</v>
      </c>
      <c r="H966">
        <v>0</v>
      </c>
      <c r="I966">
        <v>0</v>
      </c>
    </row>
    <row r="967" spans="1:9" x14ac:dyDescent="0.35">
      <c r="A967" t="s">
        <v>0</v>
      </c>
      <c r="B967" t="s">
        <v>2481</v>
      </c>
      <c r="C967" t="s">
        <v>2482</v>
      </c>
      <c r="D967">
        <v>-141875</v>
      </c>
      <c r="E967">
        <v>0</v>
      </c>
      <c r="F967">
        <v>0</v>
      </c>
      <c r="G967">
        <v>0</v>
      </c>
      <c r="H967">
        <v>0</v>
      </c>
      <c r="I967">
        <v>0</v>
      </c>
    </row>
    <row r="968" spans="1:9" x14ac:dyDescent="0.35">
      <c r="A968" t="s">
        <v>0</v>
      </c>
      <c r="B968" t="s">
        <v>2483</v>
      </c>
      <c r="C968" t="s">
        <v>2484</v>
      </c>
      <c r="D968">
        <v>-141875</v>
      </c>
      <c r="E968">
        <v>0</v>
      </c>
      <c r="F968">
        <v>0</v>
      </c>
      <c r="G968">
        <v>0</v>
      </c>
      <c r="H968">
        <v>0</v>
      </c>
      <c r="I968">
        <v>0</v>
      </c>
    </row>
    <row r="969" spans="1:9" x14ac:dyDescent="0.35">
      <c r="A969" t="s">
        <v>0</v>
      </c>
      <c r="B969" t="s">
        <v>2485</v>
      </c>
      <c r="C969" t="s">
        <v>2486</v>
      </c>
      <c r="D969">
        <v>-106407</v>
      </c>
      <c r="E969">
        <v>0</v>
      </c>
      <c r="F969">
        <v>0</v>
      </c>
      <c r="G969">
        <v>0</v>
      </c>
      <c r="H969">
        <v>0</v>
      </c>
      <c r="I969">
        <v>0</v>
      </c>
    </row>
    <row r="970" spans="1:9" x14ac:dyDescent="0.35">
      <c r="A970" t="s">
        <v>0</v>
      </c>
      <c r="B970" t="s">
        <v>2487</v>
      </c>
      <c r="C970" t="s">
        <v>2488</v>
      </c>
      <c r="D970">
        <v>-283750</v>
      </c>
      <c r="E970">
        <v>0</v>
      </c>
      <c r="F970">
        <v>0</v>
      </c>
      <c r="G970">
        <v>0</v>
      </c>
      <c r="H970">
        <v>0</v>
      </c>
      <c r="I970">
        <v>0</v>
      </c>
    </row>
    <row r="971" spans="1:9" x14ac:dyDescent="0.35">
      <c r="A971" t="s">
        <v>0</v>
      </c>
      <c r="B971" t="s">
        <v>2489</v>
      </c>
      <c r="C971" t="s">
        <v>50</v>
      </c>
      <c r="D971">
        <v>0</v>
      </c>
      <c r="E971">
        <v>0</v>
      </c>
      <c r="F971">
        <v>1528.45</v>
      </c>
      <c r="G971">
        <v>0</v>
      </c>
      <c r="H971">
        <v>1528.45</v>
      </c>
      <c r="I971">
        <v>0</v>
      </c>
    </row>
    <row r="972" spans="1:9" x14ac:dyDescent="0.35">
      <c r="A972" t="s">
        <v>0</v>
      </c>
      <c r="B972" t="s">
        <v>2490</v>
      </c>
      <c r="C972" t="s">
        <v>2451</v>
      </c>
      <c r="D972">
        <v>2479264</v>
      </c>
      <c r="E972">
        <v>0</v>
      </c>
      <c r="F972">
        <v>0</v>
      </c>
      <c r="G972">
        <v>0</v>
      </c>
      <c r="H972">
        <v>0</v>
      </c>
      <c r="I972">
        <v>0</v>
      </c>
    </row>
    <row r="973" spans="1:9" x14ac:dyDescent="0.35">
      <c r="A973" t="s">
        <v>0</v>
      </c>
      <c r="B973" t="s">
        <v>2491</v>
      </c>
      <c r="C973" t="s">
        <v>2492</v>
      </c>
      <c r="D973">
        <v>-546218</v>
      </c>
      <c r="E973">
        <v>0</v>
      </c>
      <c r="F973">
        <v>0</v>
      </c>
      <c r="G973">
        <v>0</v>
      </c>
      <c r="H973">
        <v>0</v>
      </c>
      <c r="I973">
        <v>0</v>
      </c>
    </row>
    <row r="974" spans="1:9" x14ac:dyDescent="0.35">
      <c r="A974" t="s">
        <v>0</v>
      </c>
      <c r="B974" t="s">
        <v>2493</v>
      </c>
      <c r="C974" t="s">
        <v>2494</v>
      </c>
      <c r="D974">
        <v>-886718</v>
      </c>
      <c r="E974">
        <v>0</v>
      </c>
      <c r="F974">
        <v>0</v>
      </c>
      <c r="G974">
        <v>0</v>
      </c>
      <c r="H974">
        <v>0</v>
      </c>
      <c r="I974">
        <v>0</v>
      </c>
    </row>
    <row r="975" spans="1:9" x14ac:dyDescent="0.35">
      <c r="A975" t="s">
        <v>0</v>
      </c>
      <c r="B975" t="s">
        <v>2495</v>
      </c>
      <c r="C975" t="s">
        <v>2496</v>
      </c>
      <c r="D975">
        <v>-212812</v>
      </c>
      <c r="E975">
        <v>0</v>
      </c>
      <c r="F975">
        <v>0</v>
      </c>
      <c r="G975">
        <v>0</v>
      </c>
      <c r="H975">
        <v>0</v>
      </c>
      <c r="I975">
        <v>0</v>
      </c>
    </row>
    <row r="976" spans="1:9" x14ac:dyDescent="0.35">
      <c r="A976" t="s">
        <v>0</v>
      </c>
      <c r="B976" t="s">
        <v>2497</v>
      </c>
      <c r="C976" t="s">
        <v>2498</v>
      </c>
      <c r="D976">
        <v>-709375</v>
      </c>
      <c r="E976">
        <v>0</v>
      </c>
      <c r="F976">
        <v>0</v>
      </c>
      <c r="G976">
        <v>0</v>
      </c>
      <c r="H976">
        <v>0</v>
      </c>
      <c r="I976">
        <v>0</v>
      </c>
    </row>
    <row r="977" spans="1:9" x14ac:dyDescent="0.35">
      <c r="A977" t="s">
        <v>0</v>
      </c>
      <c r="B977" t="s">
        <v>2499</v>
      </c>
      <c r="C977" t="s">
        <v>2500</v>
      </c>
      <c r="D977">
        <v>-124140</v>
      </c>
      <c r="E977">
        <v>0</v>
      </c>
      <c r="F977">
        <v>0</v>
      </c>
      <c r="G977">
        <v>0</v>
      </c>
      <c r="H977">
        <v>0</v>
      </c>
      <c r="I977">
        <v>0</v>
      </c>
    </row>
    <row r="978" spans="1:9" x14ac:dyDescent="0.35">
      <c r="A978" t="s">
        <v>0</v>
      </c>
      <c r="B978" t="s">
        <v>2501</v>
      </c>
      <c r="C978" t="s">
        <v>2502</v>
      </c>
      <c r="D978">
        <v>0</v>
      </c>
      <c r="E978">
        <v>0</v>
      </c>
      <c r="F978">
        <v>152845.84</v>
      </c>
      <c r="G978">
        <v>0</v>
      </c>
      <c r="H978">
        <v>152845.84</v>
      </c>
      <c r="I978">
        <v>0</v>
      </c>
    </row>
    <row r="979" spans="1:9" x14ac:dyDescent="0.35">
      <c r="A979" t="s">
        <v>0</v>
      </c>
      <c r="B979" t="s">
        <v>2503</v>
      </c>
      <c r="C979" t="s">
        <v>2504</v>
      </c>
      <c r="D979">
        <v>0</v>
      </c>
      <c r="E979">
        <v>0</v>
      </c>
      <c r="F979">
        <v>1528.52</v>
      </c>
      <c r="G979">
        <v>0</v>
      </c>
      <c r="H979">
        <v>1528.52</v>
      </c>
      <c r="I979">
        <v>0</v>
      </c>
    </row>
    <row r="980" spans="1:9" x14ac:dyDescent="0.35">
      <c r="A980" t="s">
        <v>0</v>
      </c>
      <c r="B980" t="s">
        <v>2505</v>
      </c>
      <c r="C980" t="s">
        <v>2506</v>
      </c>
      <c r="D980">
        <v>0</v>
      </c>
      <c r="E980">
        <v>0</v>
      </c>
      <c r="F980">
        <v>94.92</v>
      </c>
      <c r="G980">
        <v>0</v>
      </c>
      <c r="H980">
        <v>94.92</v>
      </c>
      <c r="I980">
        <v>0</v>
      </c>
    </row>
    <row r="981" spans="1:9" x14ac:dyDescent="0.35">
      <c r="A981" t="s">
        <v>0</v>
      </c>
      <c r="B981" t="s">
        <v>2507</v>
      </c>
      <c r="C981" t="s">
        <v>2508</v>
      </c>
      <c r="D981">
        <v>-47882812</v>
      </c>
      <c r="E981">
        <v>0</v>
      </c>
      <c r="F981">
        <v>482677.72</v>
      </c>
      <c r="G981">
        <v>-7800</v>
      </c>
      <c r="H981">
        <v>474877.72</v>
      </c>
      <c r="I981">
        <v>0</v>
      </c>
    </row>
    <row r="982" spans="1:9" x14ac:dyDescent="0.35">
      <c r="A982" t="s">
        <v>0</v>
      </c>
      <c r="B982" t="s">
        <v>2509</v>
      </c>
      <c r="C982" t="s">
        <v>2451</v>
      </c>
      <c r="D982">
        <v>656173</v>
      </c>
      <c r="E982">
        <v>0</v>
      </c>
      <c r="F982">
        <v>0</v>
      </c>
      <c r="G982">
        <v>0</v>
      </c>
      <c r="H982">
        <v>0</v>
      </c>
      <c r="I982">
        <v>0</v>
      </c>
    </row>
    <row r="983" spans="1:9" x14ac:dyDescent="0.35">
      <c r="A983" t="s">
        <v>0</v>
      </c>
      <c r="B983" t="s">
        <v>2510</v>
      </c>
      <c r="C983" t="s">
        <v>2511</v>
      </c>
      <c r="D983">
        <v>-656173</v>
      </c>
      <c r="E983">
        <v>0</v>
      </c>
      <c r="F983">
        <v>0</v>
      </c>
      <c r="G983">
        <v>0</v>
      </c>
      <c r="H983">
        <v>0</v>
      </c>
      <c r="I983">
        <v>0</v>
      </c>
    </row>
    <row r="984" spans="1:9" x14ac:dyDescent="0.35">
      <c r="A984" t="s">
        <v>0</v>
      </c>
      <c r="B984" t="s">
        <v>2512</v>
      </c>
      <c r="C984" t="s">
        <v>34</v>
      </c>
      <c r="D984">
        <v>0</v>
      </c>
      <c r="E984">
        <v>0</v>
      </c>
      <c r="F984">
        <v>304109.57</v>
      </c>
      <c r="G984">
        <v>0</v>
      </c>
      <c r="H984">
        <v>304109.57</v>
      </c>
      <c r="I984">
        <v>0</v>
      </c>
    </row>
    <row r="985" spans="1:9" x14ac:dyDescent="0.35">
      <c r="A985" t="s">
        <v>0</v>
      </c>
      <c r="B985" t="s">
        <v>2513</v>
      </c>
      <c r="C985" t="s">
        <v>36</v>
      </c>
      <c r="D985">
        <v>0</v>
      </c>
      <c r="E985">
        <v>0</v>
      </c>
      <c r="F985">
        <v>50855.85</v>
      </c>
      <c r="G985">
        <v>0</v>
      </c>
      <c r="H985">
        <v>50855.85</v>
      </c>
      <c r="I985">
        <v>0</v>
      </c>
    </row>
    <row r="986" spans="1:9" x14ac:dyDescent="0.35">
      <c r="A986" t="s">
        <v>0</v>
      </c>
      <c r="B986" t="s">
        <v>2514</v>
      </c>
      <c r="C986" t="s">
        <v>831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</row>
    <row r="987" spans="1:9" x14ac:dyDescent="0.35">
      <c r="A987" t="s">
        <v>0</v>
      </c>
      <c r="B987" t="s">
        <v>2515</v>
      </c>
      <c r="C987" t="s">
        <v>42</v>
      </c>
      <c r="D987">
        <v>0</v>
      </c>
      <c r="E987">
        <v>0</v>
      </c>
      <c r="F987">
        <v>42584.21</v>
      </c>
      <c r="G987">
        <v>0</v>
      </c>
      <c r="H987">
        <v>42584.21</v>
      </c>
      <c r="I987">
        <v>0</v>
      </c>
    </row>
    <row r="988" spans="1:9" x14ac:dyDescent="0.35">
      <c r="A988" t="s">
        <v>0</v>
      </c>
      <c r="B988" t="s">
        <v>2516</v>
      </c>
      <c r="C988" t="s">
        <v>44</v>
      </c>
      <c r="D988">
        <v>0</v>
      </c>
      <c r="E988">
        <v>0</v>
      </c>
      <c r="F988">
        <v>3764.63</v>
      </c>
      <c r="G988">
        <v>0</v>
      </c>
      <c r="H988">
        <v>3764.63</v>
      </c>
      <c r="I988">
        <v>0</v>
      </c>
    </row>
    <row r="989" spans="1:9" x14ac:dyDescent="0.35">
      <c r="A989" t="s">
        <v>0</v>
      </c>
      <c r="B989" t="s">
        <v>2517</v>
      </c>
      <c r="C989" t="s">
        <v>46</v>
      </c>
      <c r="D989">
        <v>0</v>
      </c>
      <c r="E989">
        <v>0</v>
      </c>
      <c r="F989">
        <v>189.84</v>
      </c>
      <c r="G989">
        <v>0</v>
      </c>
      <c r="H989">
        <v>189.84</v>
      </c>
      <c r="I989">
        <v>0</v>
      </c>
    </row>
    <row r="990" spans="1:9" x14ac:dyDescent="0.35">
      <c r="A990" t="s">
        <v>0</v>
      </c>
      <c r="B990" t="s">
        <v>2518</v>
      </c>
      <c r="C990" t="s">
        <v>48</v>
      </c>
      <c r="D990">
        <v>0</v>
      </c>
      <c r="E990">
        <v>0</v>
      </c>
      <c r="F990">
        <v>44018.400000000001</v>
      </c>
      <c r="G990">
        <v>0</v>
      </c>
      <c r="H990">
        <v>44018.400000000001</v>
      </c>
      <c r="I990">
        <v>0</v>
      </c>
    </row>
    <row r="991" spans="1:9" x14ac:dyDescent="0.35">
      <c r="A991" t="s">
        <v>0</v>
      </c>
      <c r="B991" t="s">
        <v>2519</v>
      </c>
      <c r="C991" t="s">
        <v>50</v>
      </c>
      <c r="D991">
        <v>0</v>
      </c>
      <c r="E991">
        <v>0</v>
      </c>
      <c r="F991">
        <v>3642.15</v>
      </c>
      <c r="G991">
        <v>0</v>
      </c>
      <c r="H991">
        <v>3642.15</v>
      </c>
      <c r="I991">
        <v>0</v>
      </c>
    </row>
    <row r="992" spans="1:9" x14ac:dyDescent="0.35">
      <c r="A992" t="s">
        <v>0</v>
      </c>
      <c r="B992" t="s">
        <v>2520</v>
      </c>
      <c r="C992" t="s">
        <v>331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</row>
    <row r="993" spans="1:9" x14ac:dyDescent="0.35">
      <c r="A993" t="s">
        <v>0</v>
      </c>
      <c r="B993" t="s">
        <v>2521</v>
      </c>
      <c r="C993" t="s">
        <v>52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</row>
    <row r="994" spans="1:9" x14ac:dyDescent="0.35">
      <c r="A994" t="s">
        <v>0</v>
      </c>
      <c r="B994" t="s">
        <v>2522</v>
      </c>
      <c r="C994" t="s">
        <v>244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</row>
    <row r="995" spans="1:9" x14ac:dyDescent="0.35">
      <c r="A995" t="s">
        <v>0</v>
      </c>
      <c r="B995" t="s">
        <v>2523</v>
      </c>
      <c r="C995" t="s">
        <v>2502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</row>
    <row r="996" spans="1:9" x14ac:dyDescent="0.35">
      <c r="A996" t="s">
        <v>0</v>
      </c>
      <c r="B996" t="s">
        <v>2524</v>
      </c>
      <c r="C996" t="s">
        <v>2504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</row>
    <row r="997" spans="1:9" x14ac:dyDescent="0.35">
      <c r="A997" t="s">
        <v>0</v>
      </c>
      <c r="B997" t="s">
        <v>2525</v>
      </c>
      <c r="C997" t="s">
        <v>2506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</row>
    <row r="998" spans="1:9" x14ac:dyDescent="0.35">
      <c r="A998" t="s">
        <v>0</v>
      </c>
      <c r="B998" t="s">
        <v>2526</v>
      </c>
      <c r="C998" t="s">
        <v>2527</v>
      </c>
      <c r="D998">
        <v>-212812</v>
      </c>
      <c r="E998">
        <v>0</v>
      </c>
      <c r="F998">
        <v>4173.01</v>
      </c>
      <c r="G998">
        <v>-195.21</v>
      </c>
      <c r="H998">
        <v>3977.8</v>
      </c>
      <c r="I998">
        <v>0</v>
      </c>
    </row>
    <row r="999" spans="1:9" x14ac:dyDescent="0.35">
      <c r="A999" t="s">
        <v>0</v>
      </c>
      <c r="B999" t="s">
        <v>2528</v>
      </c>
      <c r="C999" t="s">
        <v>2451</v>
      </c>
      <c r="D999">
        <v>11526392</v>
      </c>
      <c r="E999">
        <v>0</v>
      </c>
      <c r="F999">
        <v>0</v>
      </c>
      <c r="G999">
        <v>0</v>
      </c>
      <c r="H999">
        <v>0</v>
      </c>
      <c r="I999">
        <v>0</v>
      </c>
    </row>
    <row r="1000" spans="1:9" x14ac:dyDescent="0.35">
      <c r="A1000" t="s">
        <v>0</v>
      </c>
      <c r="B1000" t="s">
        <v>2529</v>
      </c>
      <c r="C1000" t="s">
        <v>2530</v>
      </c>
      <c r="D1000">
        <v>-283750</v>
      </c>
      <c r="E1000">
        <v>0</v>
      </c>
      <c r="F1000">
        <v>0</v>
      </c>
      <c r="G1000">
        <v>0</v>
      </c>
      <c r="H1000">
        <v>0</v>
      </c>
      <c r="I1000">
        <v>0</v>
      </c>
    </row>
    <row r="1001" spans="1:9" x14ac:dyDescent="0.35">
      <c r="A1001" t="s">
        <v>0</v>
      </c>
      <c r="B1001" t="s">
        <v>2531</v>
      </c>
      <c r="C1001" t="s">
        <v>2532</v>
      </c>
      <c r="D1001">
        <v>-106407</v>
      </c>
      <c r="E1001">
        <v>0</v>
      </c>
      <c r="F1001">
        <v>0</v>
      </c>
      <c r="G1001">
        <v>0</v>
      </c>
      <c r="H1001">
        <v>0</v>
      </c>
      <c r="I1001">
        <v>0</v>
      </c>
    </row>
    <row r="1002" spans="1:9" x14ac:dyDescent="0.35">
      <c r="A1002" t="s">
        <v>0</v>
      </c>
      <c r="B1002" t="s">
        <v>2533</v>
      </c>
      <c r="C1002" t="s">
        <v>2534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</row>
    <row r="1003" spans="1:9" x14ac:dyDescent="0.35">
      <c r="A1003" t="s">
        <v>0</v>
      </c>
      <c r="B1003" t="s">
        <v>2535</v>
      </c>
      <c r="C1003" t="s">
        <v>2536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</row>
    <row r="1004" spans="1:9" x14ac:dyDescent="0.35">
      <c r="D1004">
        <f>SUM(D1:D1003)</f>
        <v>-42887991</v>
      </c>
      <c r="F1004">
        <f>SUM(F1:F1003)</f>
        <v>219303268.42000005</v>
      </c>
      <c r="G1004">
        <f>SUM(G1:G1003)</f>
        <v>-210681475.54000005</v>
      </c>
      <c r="H1004">
        <f>SUM(H1:H1003)</f>
        <v>12151106.270000001</v>
      </c>
      <c r="I1004">
        <f>SUM(I1:I1003)</f>
        <v>-3529313.3899999997</v>
      </c>
    </row>
    <row r="1006" spans="1:9" x14ac:dyDescent="0.35">
      <c r="G1006">
        <f>+F1004+G1004</f>
        <v>8621792.8799999952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744"/>
  <sheetViews>
    <sheetView topLeftCell="B1" workbookViewId="0">
      <pane ySplit="1" topLeftCell="A2" activePane="bottomLeft" state="frozen"/>
      <selection activeCell="I95" sqref="I95"/>
      <selection pane="bottomLeft" activeCell="I4" sqref="I4"/>
    </sheetView>
  </sheetViews>
  <sheetFormatPr defaultRowHeight="14.5" x14ac:dyDescent="0.35"/>
  <cols>
    <col min="1" max="1" width="16.7265625" hidden="1" customWidth="1"/>
    <col min="2" max="2" width="27.7265625" customWidth="1"/>
    <col min="3" max="3" width="19" customWidth="1"/>
    <col min="4" max="4" width="32.1796875" customWidth="1"/>
    <col min="5" max="5" width="17.26953125" style="2" customWidth="1"/>
    <col min="6" max="6" width="16.26953125" style="2" customWidth="1"/>
    <col min="7" max="10" width="16.7265625" style="2" customWidth="1"/>
    <col min="11" max="11" width="13.26953125" bestFit="1" customWidth="1"/>
    <col min="12" max="12" width="11.26953125" customWidth="1"/>
  </cols>
  <sheetData>
    <row r="1" spans="1:10" s="1" customFormat="1" ht="31.5" customHeight="1" thickBot="1" x14ac:dyDescent="0.4">
      <c r="A1" s="53" t="s">
        <v>2586</v>
      </c>
      <c r="B1" s="52" t="s">
        <v>2537</v>
      </c>
      <c r="C1" s="38" t="s">
        <v>2538</v>
      </c>
      <c r="D1" s="38" t="s">
        <v>2539</v>
      </c>
      <c r="E1" s="36" t="s">
        <v>2540</v>
      </c>
      <c r="F1" s="36" t="s">
        <v>2541</v>
      </c>
      <c r="G1" s="37" t="s">
        <v>2542</v>
      </c>
      <c r="H1" s="37" t="s">
        <v>2599</v>
      </c>
      <c r="I1" s="37" t="s">
        <v>2600</v>
      </c>
      <c r="J1" s="37" t="s">
        <v>2601</v>
      </c>
    </row>
    <row r="2" spans="1:10" s="1" customFormat="1" ht="15" customHeight="1" x14ac:dyDescent="0.35">
      <c r="A2" s="55"/>
      <c r="B2" s="56"/>
      <c r="C2" s="56"/>
      <c r="D2" s="56"/>
      <c r="E2" s="57"/>
      <c r="F2" s="57"/>
      <c r="G2" s="57"/>
      <c r="H2" s="57"/>
      <c r="I2" s="57"/>
      <c r="J2" s="57"/>
    </row>
    <row r="4" spans="1:10" ht="15" thickBot="1" x14ac:dyDescent="0.4">
      <c r="A4" s="28" t="s">
        <v>2587</v>
      </c>
      <c r="B4" s="12" t="s">
        <v>2547</v>
      </c>
    </row>
    <row r="5" spans="1:10" x14ac:dyDescent="0.35">
      <c r="B5" s="13" t="s">
        <v>2543</v>
      </c>
      <c r="C5" s="14" t="s">
        <v>1</v>
      </c>
      <c r="D5" s="14" t="s">
        <v>2</v>
      </c>
      <c r="E5" s="15">
        <v>-22000</v>
      </c>
      <c r="F5" s="15">
        <v>-23735.49</v>
      </c>
      <c r="G5" s="58">
        <f>+F5/7*12</f>
        <v>-40689.411428571431</v>
      </c>
      <c r="H5" s="61">
        <v>0</v>
      </c>
      <c r="I5" s="15">
        <f>+H5*1.055</f>
        <v>0</v>
      </c>
      <c r="J5" s="16">
        <f>+I5*1.053</f>
        <v>0</v>
      </c>
    </row>
    <row r="6" spans="1:10" x14ac:dyDescent="0.35">
      <c r="B6" s="17" t="s">
        <v>2543</v>
      </c>
      <c r="C6" s="5" t="s">
        <v>3</v>
      </c>
      <c r="D6" s="5" t="s">
        <v>4</v>
      </c>
      <c r="E6" s="3">
        <v>-3800</v>
      </c>
      <c r="F6" s="3">
        <v>-3100</v>
      </c>
      <c r="G6" s="54">
        <f t="shared" ref="G6:G70" si="0">+F6/7*12</f>
        <v>-5314.2857142857138</v>
      </c>
      <c r="H6" s="62">
        <f t="shared" ref="H6:H20" si="1">+G6*1.06</f>
        <v>-5633.1428571428569</v>
      </c>
      <c r="I6" s="3">
        <f t="shared" ref="I6:I20" si="2">+H6*1.055</f>
        <v>-5942.9657142857141</v>
      </c>
      <c r="J6" s="18">
        <f t="shared" ref="J6:J20" si="3">+I6*1.053</f>
        <v>-6257.942897142857</v>
      </c>
    </row>
    <row r="7" spans="1:10" x14ac:dyDescent="0.35">
      <c r="B7" s="17" t="s">
        <v>2543</v>
      </c>
      <c r="C7" s="5" t="s">
        <v>5</v>
      </c>
      <c r="D7" s="5" t="s">
        <v>6</v>
      </c>
      <c r="E7" s="3">
        <v>-100</v>
      </c>
      <c r="F7" s="3">
        <v>0</v>
      </c>
      <c r="G7" s="54">
        <f t="shared" si="0"/>
        <v>0</v>
      </c>
      <c r="H7" s="62">
        <f t="shared" si="1"/>
        <v>0</v>
      </c>
      <c r="I7" s="3">
        <f t="shared" si="2"/>
        <v>0</v>
      </c>
      <c r="J7" s="18">
        <f t="shared" si="3"/>
        <v>0</v>
      </c>
    </row>
    <row r="8" spans="1:10" x14ac:dyDescent="0.35">
      <c r="B8" s="17" t="s">
        <v>2543</v>
      </c>
      <c r="C8" s="5" t="s">
        <v>7</v>
      </c>
      <c r="D8" s="5" t="s">
        <v>8</v>
      </c>
      <c r="E8" s="3">
        <v>0</v>
      </c>
      <c r="F8" s="3">
        <v>-16860</v>
      </c>
      <c r="G8" s="54">
        <f t="shared" si="0"/>
        <v>-28902.857142857141</v>
      </c>
      <c r="H8" s="62">
        <f t="shared" si="1"/>
        <v>-30637.028571428571</v>
      </c>
      <c r="I8" s="3">
        <f t="shared" si="2"/>
        <v>-32322.06514285714</v>
      </c>
      <c r="J8" s="18">
        <f t="shared" si="3"/>
        <v>-34035.134595428564</v>
      </c>
    </row>
    <row r="9" spans="1:10" x14ac:dyDescent="0.35">
      <c r="B9" s="17" t="s">
        <v>2543</v>
      </c>
      <c r="C9" s="5" t="s">
        <v>9</v>
      </c>
      <c r="D9" s="5" t="s">
        <v>10</v>
      </c>
      <c r="E9" s="3">
        <v>-640</v>
      </c>
      <c r="F9" s="3">
        <v>-390</v>
      </c>
      <c r="G9" s="54">
        <f t="shared" si="0"/>
        <v>-668.57142857142856</v>
      </c>
      <c r="H9" s="62">
        <f t="shared" si="1"/>
        <v>-708.68571428571431</v>
      </c>
      <c r="I9" s="3">
        <f t="shared" si="2"/>
        <v>-747.66342857142854</v>
      </c>
      <c r="J9" s="18">
        <f t="shared" si="3"/>
        <v>-787.28959028571421</v>
      </c>
    </row>
    <row r="10" spans="1:10" x14ac:dyDescent="0.35">
      <c r="B10" s="17" t="s">
        <v>2543</v>
      </c>
      <c r="C10" s="5" t="s">
        <v>11</v>
      </c>
      <c r="D10" s="5" t="s">
        <v>12</v>
      </c>
      <c r="E10" s="3">
        <v>0</v>
      </c>
      <c r="F10" s="3">
        <v>-489.05</v>
      </c>
      <c r="G10" s="54">
        <f t="shared" si="0"/>
        <v>-838.37142857142862</v>
      </c>
      <c r="H10" s="62">
        <f t="shared" si="1"/>
        <v>-888.67371428571437</v>
      </c>
      <c r="I10" s="3">
        <f t="shared" si="2"/>
        <v>-937.55076857142865</v>
      </c>
      <c r="J10" s="18">
        <f t="shared" si="3"/>
        <v>-987.24095930571434</v>
      </c>
    </row>
    <row r="11" spans="1:10" x14ac:dyDescent="0.35">
      <c r="B11" s="17" t="s">
        <v>2543</v>
      </c>
      <c r="C11" s="5" t="s">
        <v>13</v>
      </c>
      <c r="D11" s="5" t="s">
        <v>14</v>
      </c>
      <c r="E11" s="3">
        <v>0</v>
      </c>
      <c r="F11" s="3">
        <v>0</v>
      </c>
      <c r="G11" s="54">
        <f t="shared" si="0"/>
        <v>0</v>
      </c>
      <c r="H11" s="62">
        <f t="shared" si="1"/>
        <v>0</v>
      </c>
      <c r="I11" s="3">
        <f t="shared" si="2"/>
        <v>0</v>
      </c>
      <c r="J11" s="18">
        <f t="shared" si="3"/>
        <v>0</v>
      </c>
    </row>
    <row r="12" spans="1:10" x14ac:dyDescent="0.35">
      <c r="B12" s="17" t="s">
        <v>2543</v>
      </c>
      <c r="C12" s="5" t="s">
        <v>15</v>
      </c>
      <c r="D12" s="5" t="s">
        <v>16</v>
      </c>
      <c r="E12" s="3">
        <v>-4066000</v>
      </c>
      <c r="F12" s="3">
        <v>-10696000</v>
      </c>
      <c r="G12" s="54">
        <f t="shared" si="0"/>
        <v>-18336000</v>
      </c>
      <c r="H12" s="62">
        <f t="shared" si="1"/>
        <v>-19436160</v>
      </c>
      <c r="I12" s="3">
        <f t="shared" si="2"/>
        <v>-20505148.799999997</v>
      </c>
      <c r="J12" s="18">
        <f t="shared" si="3"/>
        <v>-21591921.686399996</v>
      </c>
    </row>
    <row r="13" spans="1:10" x14ac:dyDescent="0.35">
      <c r="B13" s="17" t="s">
        <v>2543</v>
      </c>
      <c r="C13" s="5" t="s">
        <v>17</v>
      </c>
      <c r="D13" s="5" t="s">
        <v>18</v>
      </c>
      <c r="E13" s="3">
        <v>0</v>
      </c>
      <c r="F13" s="3">
        <v>0</v>
      </c>
      <c r="G13" s="54">
        <f t="shared" si="0"/>
        <v>0</v>
      </c>
      <c r="H13" s="62">
        <f t="shared" si="1"/>
        <v>0</v>
      </c>
      <c r="I13" s="3">
        <f t="shared" si="2"/>
        <v>0</v>
      </c>
      <c r="J13" s="18">
        <f t="shared" si="3"/>
        <v>0</v>
      </c>
    </row>
    <row r="14" spans="1:10" x14ac:dyDescent="0.35">
      <c r="B14" s="17" t="s">
        <v>2543</v>
      </c>
      <c r="C14" s="5" t="s">
        <v>19</v>
      </c>
      <c r="D14" s="5" t="s">
        <v>20</v>
      </c>
      <c r="E14" s="3">
        <v>-1403000</v>
      </c>
      <c r="F14" s="3">
        <v>0</v>
      </c>
      <c r="G14" s="54">
        <f t="shared" si="0"/>
        <v>0</v>
      </c>
      <c r="H14" s="62">
        <f t="shared" si="1"/>
        <v>0</v>
      </c>
      <c r="I14" s="3">
        <f t="shared" si="2"/>
        <v>0</v>
      </c>
      <c r="J14" s="18">
        <f t="shared" si="3"/>
        <v>0</v>
      </c>
    </row>
    <row r="15" spans="1:10" x14ac:dyDescent="0.35">
      <c r="B15" s="17" t="s">
        <v>2543</v>
      </c>
      <c r="C15" s="5" t="s">
        <v>21</v>
      </c>
      <c r="D15" s="5" t="s">
        <v>22</v>
      </c>
      <c r="E15" s="3">
        <v>-4000</v>
      </c>
      <c r="F15" s="3">
        <v>-2026.2</v>
      </c>
      <c r="G15" s="54">
        <f t="shared" si="0"/>
        <v>-3473.4857142857145</v>
      </c>
      <c r="H15" s="62">
        <f t="shared" si="1"/>
        <v>-3681.8948571428577</v>
      </c>
      <c r="I15" s="3">
        <f t="shared" si="2"/>
        <v>-3884.3990742857145</v>
      </c>
      <c r="J15" s="18">
        <f t="shared" si="3"/>
        <v>-4090.2722252228573</v>
      </c>
    </row>
    <row r="16" spans="1:10" x14ac:dyDescent="0.35">
      <c r="B16" s="17" t="s">
        <v>2543</v>
      </c>
      <c r="C16" s="5" t="s">
        <v>23</v>
      </c>
      <c r="D16" s="5" t="s">
        <v>24</v>
      </c>
      <c r="E16" s="3">
        <v>0</v>
      </c>
      <c r="F16" s="3">
        <v>0</v>
      </c>
      <c r="G16" s="54">
        <f t="shared" si="0"/>
        <v>0</v>
      </c>
      <c r="H16" s="62">
        <f t="shared" si="1"/>
        <v>0</v>
      </c>
      <c r="I16" s="3">
        <f t="shared" si="2"/>
        <v>0</v>
      </c>
      <c r="J16" s="18">
        <f t="shared" si="3"/>
        <v>0</v>
      </c>
    </row>
    <row r="17" spans="2:10" x14ac:dyDescent="0.35">
      <c r="B17" s="17" t="s">
        <v>2543</v>
      </c>
      <c r="C17" s="5" t="s">
        <v>25</v>
      </c>
      <c r="D17" s="5" t="s">
        <v>26</v>
      </c>
      <c r="E17" s="3">
        <v>0</v>
      </c>
      <c r="F17" s="3">
        <v>0</v>
      </c>
      <c r="G17" s="54">
        <f t="shared" si="0"/>
        <v>0</v>
      </c>
      <c r="H17" s="62">
        <f t="shared" si="1"/>
        <v>0</v>
      </c>
      <c r="I17" s="3">
        <f t="shared" si="2"/>
        <v>0</v>
      </c>
      <c r="J17" s="18">
        <f t="shared" si="3"/>
        <v>0</v>
      </c>
    </row>
    <row r="18" spans="2:10" x14ac:dyDescent="0.35">
      <c r="B18" s="17" t="s">
        <v>2543</v>
      </c>
      <c r="C18" s="5" t="s">
        <v>27</v>
      </c>
      <c r="D18" s="5" t="s">
        <v>28</v>
      </c>
      <c r="E18" s="3">
        <v>0</v>
      </c>
      <c r="F18" s="3">
        <v>0</v>
      </c>
      <c r="G18" s="54">
        <f t="shared" si="0"/>
        <v>0</v>
      </c>
      <c r="H18" s="62">
        <f t="shared" si="1"/>
        <v>0</v>
      </c>
      <c r="I18" s="3">
        <f t="shared" si="2"/>
        <v>0</v>
      </c>
      <c r="J18" s="18">
        <f t="shared" si="3"/>
        <v>0</v>
      </c>
    </row>
    <row r="19" spans="2:10" x14ac:dyDescent="0.35">
      <c r="B19" s="17" t="s">
        <v>2543</v>
      </c>
      <c r="C19" s="5" t="s">
        <v>29</v>
      </c>
      <c r="D19" s="5" t="s">
        <v>30</v>
      </c>
      <c r="E19" s="3">
        <v>0</v>
      </c>
      <c r="F19" s="3">
        <v>0</v>
      </c>
      <c r="G19" s="54">
        <f t="shared" si="0"/>
        <v>0</v>
      </c>
      <c r="H19" s="62">
        <f t="shared" si="1"/>
        <v>0</v>
      </c>
      <c r="I19" s="3">
        <f t="shared" si="2"/>
        <v>0</v>
      </c>
      <c r="J19" s="18">
        <f t="shared" si="3"/>
        <v>0</v>
      </c>
    </row>
    <row r="20" spans="2:10" x14ac:dyDescent="0.35">
      <c r="B20" s="17" t="s">
        <v>2543</v>
      </c>
      <c r="C20" s="5" t="s">
        <v>31</v>
      </c>
      <c r="D20" s="5" t="s">
        <v>32</v>
      </c>
      <c r="E20" s="3">
        <v>0</v>
      </c>
      <c r="F20" s="3">
        <v>0</v>
      </c>
      <c r="G20" s="54">
        <f t="shared" si="0"/>
        <v>0</v>
      </c>
      <c r="H20" s="62">
        <f t="shared" si="1"/>
        <v>0</v>
      </c>
      <c r="I20" s="3">
        <f t="shared" si="2"/>
        <v>0</v>
      </c>
      <c r="J20" s="18">
        <f t="shared" si="3"/>
        <v>0</v>
      </c>
    </row>
    <row r="21" spans="2:10" s="8" customFormat="1" x14ac:dyDescent="0.35">
      <c r="B21" s="19" t="s">
        <v>2545</v>
      </c>
      <c r="C21" s="5"/>
      <c r="D21" s="5"/>
      <c r="E21" s="10">
        <f t="shared" ref="E21:G21" si="4">SUM(E5:E20)</f>
        <v>-5499540</v>
      </c>
      <c r="F21" s="10">
        <f t="shared" si="4"/>
        <v>-10742600.739999998</v>
      </c>
      <c r="G21" s="59">
        <f t="shared" si="4"/>
        <v>-18415886.982857145</v>
      </c>
      <c r="H21" s="63">
        <f t="shared" ref="H21:J21" si="5">SUM(H5:H20)</f>
        <v>-19477709.425714284</v>
      </c>
      <c r="I21" s="10">
        <f t="shared" si="5"/>
        <v>-20548983.444128569</v>
      </c>
      <c r="J21" s="22">
        <f t="shared" si="5"/>
        <v>-21638079.566667382</v>
      </c>
    </row>
    <row r="22" spans="2:10" s="8" customFormat="1" x14ac:dyDescent="0.35">
      <c r="B22" s="20"/>
      <c r="E22" s="9"/>
      <c r="F22" s="9"/>
      <c r="G22" s="9"/>
      <c r="H22" s="64"/>
      <c r="I22" s="9"/>
      <c r="J22" s="21"/>
    </row>
    <row r="23" spans="2:10" x14ac:dyDescent="0.35">
      <c r="B23" s="17" t="s">
        <v>2544</v>
      </c>
      <c r="C23" s="5" t="s">
        <v>33</v>
      </c>
      <c r="D23" s="5" t="s">
        <v>34</v>
      </c>
      <c r="E23" s="3">
        <v>146542</v>
      </c>
      <c r="F23" s="3">
        <f>538570.57+4028.71</f>
        <v>542599.27999999991</v>
      </c>
      <c r="G23" s="54">
        <f t="shared" si="0"/>
        <v>930170.19428571418</v>
      </c>
      <c r="H23" s="62">
        <f>+G23*1.058</f>
        <v>984120.06555428565</v>
      </c>
      <c r="I23" s="3">
        <f t="shared" ref="I23:I70" si="6">+H23*1.055</f>
        <v>1038246.6691597713</v>
      </c>
      <c r="J23" s="18">
        <f>+I23*1.053</f>
        <v>1093273.7426252391</v>
      </c>
    </row>
    <row r="24" spans="2:10" x14ac:dyDescent="0.35">
      <c r="B24" s="17" t="s">
        <v>2544</v>
      </c>
      <c r="C24" s="5" t="s">
        <v>35</v>
      </c>
      <c r="D24" s="5" t="s">
        <v>36</v>
      </c>
      <c r="E24" s="3">
        <v>12212</v>
      </c>
      <c r="F24" s="3">
        <v>12211.81</v>
      </c>
      <c r="G24" s="54">
        <f t="shared" si="0"/>
        <v>20934.531428571427</v>
      </c>
      <c r="H24" s="62">
        <f>+G24*1.058</f>
        <v>22148.73425142857</v>
      </c>
      <c r="I24" s="3">
        <f t="shared" si="6"/>
        <v>23366.914635257141</v>
      </c>
      <c r="J24" s="18">
        <f t="shared" ref="J24:J70" si="7">+I24*1.053</f>
        <v>24605.361110925769</v>
      </c>
    </row>
    <row r="25" spans="2:10" x14ac:dyDescent="0.35">
      <c r="B25" s="17" t="s">
        <v>2544</v>
      </c>
      <c r="C25" s="5" t="s">
        <v>37</v>
      </c>
      <c r="D25" s="5" t="s">
        <v>38</v>
      </c>
      <c r="E25" s="3">
        <v>0</v>
      </c>
      <c r="F25" s="3">
        <v>0</v>
      </c>
      <c r="G25" s="54">
        <f t="shared" si="0"/>
        <v>0</v>
      </c>
      <c r="H25" s="62">
        <f t="shared" ref="H25:H37" si="8">+G25*1.058</f>
        <v>0</v>
      </c>
      <c r="I25" s="3">
        <f t="shared" si="6"/>
        <v>0</v>
      </c>
      <c r="J25" s="18">
        <f t="shared" si="7"/>
        <v>0</v>
      </c>
    </row>
    <row r="26" spans="2:10" x14ac:dyDescent="0.35">
      <c r="B26" s="17" t="s">
        <v>2544</v>
      </c>
      <c r="C26" s="5" t="s">
        <v>39</v>
      </c>
      <c r="D26" s="5" t="s">
        <v>40</v>
      </c>
      <c r="E26" s="3">
        <v>0</v>
      </c>
      <c r="F26" s="3">
        <v>0</v>
      </c>
      <c r="G26" s="54">
        <f t="shared" si="0"/>
        <v>0</v>
      </c>
      <c r="H26" s="62">
        <f t="shared" si="8"/>
        <v>0</v>
      </c>
      <c r="I26" s="3">
        <f t="shared" si="6"/>
        <v>0</v>
      </c>
      <c r="J26" s="18">
        <f t="shared" si="7"/>
        <v>0</v>
      </c>
    </row>
    <row r="27" spans="2:10" x14ac:dyDescent="0.35">
      <c r="B27" s="17" t="s">
        <v>2544</v>
      </c>
      <c r="C27" s="5" t="s">
        <v>41</v>
      </c>
      <c r="D27" s="5" t="s">
        <v>42</v>
      </c>
      <c r="E27" s="3">
        <v>0</v>
      </c>
      <c r="F27" s="3">
        <v>0</v>
      </c>
      <c r="G27" s="54">
        <f t="shared" si="0"/>
        <v>0</v>
      </c>
      <c r="H27" s="62">
        <f t="shared" si="8"/>
        <v>0</v>
      </c>
      <c r="I27" s="3">
        <f t="shared" si="6"/>
        <v>0</v>
      </c>
      <c r="J27" s="18">
        <f t="shared" si="7"/>
        <v>0</v>
      </c>
    </row>
    <row r="28" spans="2:10" x14ac:dyDescent="0.35">
      <c r="B28" s="17" t="s">
        <v>2544</v>
      </c>
      <c r="C28" s="5" t="s">
        <v>43</v>
      </c>
      <c r="D28" s="5" t="s">
        <v>44</v>
      </c>
      <c r="E28" s="3">
        <v>1465</v>
      </c>
      <c r="F28" s="3">
        <v>2017.68</v>
      </c>
      <c r="G28" s="54">
        <f t="shared" si="0"/>
        <v>3458.88</v>
      </c>
      <c r="H28" s="62">
        <f t="shared" si="8"/>
        <v>3659.4950400000002</v>
      </c>
      <c r="I28" s="3">
        <f t="shared" si="6"/>
        <v>3860.7672671999999</v>
      </c>
      <c r="J28" s="18">
        <f t="shared" si="7"/>
        <v>4065.3879323615997</v>
      </c>
    </row>
    <row r="29" spans="2:10" x14ac:dyDescent="0.35">
      <c r="B29" s="17" t="s">
        <v>2544</v>
      </c>
      <c r="C29" s="5" t="s">
        <v>45</v>
      </c>
      <c r="D29" s="5" t="s">
        <v>46</v>
      </c>
      <c r="E29" s="3">
        <v>1465</v>
      </c>
      <c r="F29" s="3">
        <v>94.92</v>
      </c>
      <c r="G29" s="54">
        <f t="shared" si="0"/>
        <v>162.72</v>
      </c>
      <c r="H29" s="62">
        <f t="shared" si="8"/>
        <v>172.15776</v>
      </c>
      <c r="I29" s="3">
        <f t="shared" si="6"/>
        <v>181.62643679999999</v>
      </c>
      <c r="J29" s="18">
        <f t="shared" si="7"/>
        <v>191.25263795039999</v>
      </c>
    </row>
    <row r="30" spans="2:10" x14ac:dyDescent="0.35">
      <c r="B30" s="17" t="s">
        <v>2544</v>
      </c>
      <c r="C30" s="5" t="s">
        <v>47</v>
      </c>
      <c r="D30" s="5" t="s">
        <v>48</v>
      </c>
      <c r="E30" s="3">
        <v>0</v>
      </c>
      <c r="F30" s="3">
        <v>0</v>
      </c>
      <c r="G30" s="54">
        <f t="shared" si="0"/>
        <v>0</v>
      </c>
      <c r="H30" s="62">
        <f t="shared" si="8"/>
        <v>0</v>
      </c>
      <c r="I30" s="3">
        <f t="shared" si="6"/>
        <v>0</v>
      </c>
      <c r="J30" s="18">
        <f t="shared" si="7"/>
        <v>0</v>
      </c>
    </row>
    <row r="31" spans="2:10" x14ac:dyDescent="0.35">
      <c r="B31" s="17" t="s">
        <v>2544</v>
      </c>
      <c r="C31" s="5" t="s">
        <v>49</v>
      </c>
      <c r="D31" s="5" t="s">
        <v>50</v>
      </c>
      <c r="E31" s="3">
        <v>1465</v>
      </c>
      <c r="F31" s="3">
        <v>14274.56</v>
      </c>
      <c r="G31" s="54">
        <f t="shared" si="0"/>
        <v>24470.674285714285</v>
      </c>
      <c r="H31" s="62">
        <f t="shared" si="8"/>
        <v>25889.973394285716</v>
      </c>
      <c r="I31" s="3">
        <f t="shared" si="6"/>
        <v>27313.921930971428</v>
      </c>
      <c r="J31" s="18">
        <f t="shared" si="7"/>
        <v>28761.559793312914</v>
      </c>
    </row>
    <row r="32" spans="2:10" x14ac:dyDescent="0.35">
      <c r="B32" s="17" t="s">
        <v>2544</v>
      </c>
      <c r="C32" s="5" t="s">
        <v>51</v>
      </c>
      <c r="D32" s="5" t="s">
        <v>52</v>
      </c>
      <c r="E32" s="3">
        <v>0</v>
      </c>
      <c r="F32" s="3">
        <v>0</v>
      </c>
      <c r="G32" s="54">
        <f t="shared" si="0"/>
        <v>0</v>
      </c>
      <c r="H32" s="62">
        <f t="shared" si="8"/>
        <v>0</v>
      </c>
      <c r="I32" s="3">
        <f t="shared" si="6"/>
        <v>0</v>
      </c>
      <c r="J32" s="18">
        <f t="shared" si="7"/>
        <v>0</v>
      </c>
    </row>
    <row r="33" spans="2:10" x14ac:dyDescent="0.35">
      <c r="B33" s="17" t="s">
        <v>2544</v>
      </c>
      <c r="C33" s="5" t="s">
        <v>53</v>
      </c>
      <c r="D33" s="5" t="s">
        <v>54</v>
      </c>
      <c r="E33" s="3">
        <v>1826918</v>
      </c>
      <c r="F33" s="3">
        <v>976912.63</v>
      </c>
      <c r="G33" s="54">
        <f t="shared" si="0"/>
        <v>1674707.365714286</v>
      </c>
      <c r="H33" s="62">
        <f t="shared" si="8"/>
        <v>1771840.3929257146</v>
      </c>
      <c r="I33" s="3">
        <f t="shared" si="6"/>
        <v>1869291.6145366288</v>
      </c>
      <c r="J33" s="18">
        <f t="shared" si="7"/>
        <v>1968364.07010707</v>
      </c>
    </row>
    <row r="34" spans="2:10" x14ac:dyDescent="0.35">
      <c r="B34" s="17" t="s">
        <v>2544</v>
      </c>
      <c r="C34" s="5" t="s">
        <v>55</v>
      </c>
      <c r="D34" s="5" t="s">
        <v>56</v>
      </c>
      <c r="E34" s="3">
        <v>0</v>
      </c>
      <c r="F34" s="3">
        <v>0</v>
      </c>
      <c r="G34" s="54">
        <f t="shared" si="0"/>
        <v>0</v>
      </c>
      <c r="H34" s="62">
        <f t="shared" si="8"/>
        <v>0</v>
      </c>
      <c r="I34" s="3">
        <f t="shared" si="6"/>
        <v>0</v>
      </c>
      <c r="J34" s="18">
        <f t="shared" si="7"/>
        <v>0</v>
      </c>
    </row>
    <row r="35" spans="2:10" x14ac:dyDescent="0.35">
      <c r="B35" s="17" t="s">
        <v>2544</v>
      </c>
      <c r="C35" s="5" t="s">
        <v>57</v>
      </c>
      <c r="D35" s="5" t="s">
        <v>58</v>
      </c>
      <c r="E35" s="3">
        <v>146076</v>
      </c>
      <c r="F35" s="3">
        <v>81961.69</v>
      </c>
      <c r="G35" s="54">
        <f t="shared" si="0"/>
        <v>140505.7542857143</v>
      </c>
      <c r="H35" s="62">
        <f t="shared" si="8"/>
        <v>148655.08803428573</v>
      </c>
      <c r="I35" s="3">
        <f t="shared" si="6"/>
        <v>156831.11787617143</v>
      </c>
      <c r="J35" s="18">
        <f t="shared" si="7"/>
        <v>165143.16712360849</v>
      </c>
    </row>
    <row r="36" spans="2:10" x14ac:dyDescent="0.35">
      <c r="B36" s="17" t="s">
        <v>2544</v>
      </c>
      <c r="C36" s="5" t="s">
        <v>59</v>
      </c>
      <c r="D36" s="5" t="s">
        <v>60</v>
      </c>
      <c r="E36" s="3">
        <v>0</v>
      </c>
      <c r="F36" s="3">
        <v>0</v>
      </c>
      <c r="G36" s="54">
        <f t="shared" si="0"/>
        <v>0</v>
      </c>
      <c r="H36" s="62">
        <f t="shared" si="8"/>
        <v>0</v>
      </c>
      <c r="I36" s="3">
        <f t="shared" si="6"/>
        <v>0</v>
      </c>
      <c r="J36" s="18">
        <f t="shared" si="7"/>
        <v>0</v>
      </c>
    </row>
    <row r="37" spans="2:10" x14ac:dyDescent="0.35">
      <c r="B37" s="17" t="s">
        <v>2544</v>
      </c>
      <c r="C37" s="5" t="s">
        <v>61</v>
      </c>
      <c r="D37" s="5" t="s">
        <v>62</v>
      </c>
      <c r="E37" s="3">
        <v>0</v>
      </c>
      <c r="F37" s="3">
        <v>0</v>
      </c>
      <c r="G37" s="54">
        <f t="shared" si="0"/>
        <v>0</v>
      </c>
      <c r="H37" s="62">
        <f t="shared" si="8"/>
        <v>0</v>
      </c>
      <c r="I37" s="3">
        <f t="shared" si="6"/>
        <v>0</v>
      </c>
      <c r="J37" s="18">
        <f t="shared" si="7"/>
        <v>0</v>
      </c>
    </row>
    <row r="38" spans="2:10" x14ac:dyDescent="0.35">
      <c r="B38" s="17" t="s">
        <v>2544</v>
      </c>
      <c r="C38" s="5" t="s">
        <v>63</v>
      </c>
      <c r="D38" s="5" t="s">
        <v>64</v>
      </c>
      <c r="E38" s="3">
        <v>440000</v>
      </c>
      <c r="F38" s="3">
        <v>0</v>
      </c>
      <c r="G38" s="54">
        <f t="shared" si="0"/>
        <v>0</v>
      </c>
      <c r="H38" s="62">
        <f>+G38*1.06</f>
        <v>0</v>
      </c>
      <c r="I38" s="3">
        <f t="shared" si="6"/>
        <v>0</v>
      </c>
      <c r="J38" s="18">
        <f t="shared" si="7"/>
        <v>0</v>
      </c>
    </row>
    <row r="39" spans="2:10" x14ac:dyDescent="0.35">
      <c r="B39" s="17" t="s">
        <v>2544</v>
      </c>
      <c r="C39" s="5" t="s">
        <v>65</v>
      </c>
      <c r="D39" s="5" t="s">
        <v>66</v>
      </c>
      <c r="E39" s="3">
        <v>0</v>
      </c>
      <c r="F39" s="3">
        <v>0</v>
      </c>
      <c r="G39" s="54">
        <f t="shared" si="0"/>
        <v>0</v>
      </c>
      <c r="H39" s="62">
        <f t="shared" ref="H39:H70" si="9">+G39*1.06</f>
        <v>0</v>
      </c>
      <c r="I39" s="3">
        <f t="shared" si="6"/>
        <v>0</v>
      </c>
      <c r="J39" s="18">
        <f t="shared" si="7"/>
        <v>0</v>
      </c>
    </row>
    <row r="40" spans="2:10" x14ac:dyDescent="0.35">
      <c r="B40" s="17" t="s">
        <v>2544</v>
      </c>
      <c r="C40" s="5" t="s">
        <v>67</v>
      </c>
      <c r="D40" s="5" t="s">
        <v>68</v>
      </c>
      <c r="E40" s="3">
        <v>0</v>
      </c>
      <c r="F40" s="3">
        <v>0</v>
      </c>
      <c r="G40" s="54">
        <f t="shared" si="0"/>
        <v>0</v>
      </c>
      <c r="H40" s="62">
        <f t="shared" si="9"/>
        <v>0</v>
      </c>
      <c r="I40" s="3">
        <f t="shared" si="6"/>
        <v>0</v>
      </c>
      <c r="J40" s="18">
        <f t="shared" si="7"/>
        <v>0</v>
      </c>
    </row>
    <row r="41" spans="2:10" x14ac:dyDescent="0.35">
      <c r="B41" s="17" t="s">
        <v>2544</v>
      </c>
      <c r="C41" s="5" t="s">
        <v>69</v>
      </c>
      <c r="D41" s="5" t="s">
        <v>70</v>
      </c>
      <c r="E41" s="3">
        <v>0</v>
      </c>
      <c r="F41" s="3">
        <v>0</v>
      </c>
      <c r="G41" s="54">
        <f t="shared" si="0"/>
        <v>0</v>
      </c>
      <c r="H41" s="62">
        <f t="shared" si="9"/>
        <v>0</v>
      </c>
      <c r="I41" s="3">
        <f t="shared" si="6"/>
        <v>0</v>
      </c>
      <c r="J41" s="18">
        <f t="shared" si="7"/>
        <v>0</v>
      </c>
    </row>
    <row r="42" spans="2:10" x14ac:dyDescent="0.35">
      <c r="B42" s="17" t="s">
        <v>2544</v>
      </c>
      <c r="C42" s="5" t="s">
        <v>71</v>
      </c>
      <c r="D42" s="5" t="s">
        <v>72</v>
      </c>
      <c r="E42" s="3">
        <v>0</v>
      </c>
      <c r="F42" s="3">
        <v>0</v>
      </c>
      <c r="G42" s="54">
        <f t="shared" si="0"/>
        <v>0</v>
      </c>
      <c r="H42" s="62">
        <f t="shared" si="9"/>
        <v>0</v>
      </c>
      <c r="I42" s="3">
        <f t="shared" si="6"/>
        <v>0</v>
      </c>
      <c r="J42" s="18">
        <f t="shared" si="7"/>
        <v>0</v>
      </c>
    </row>
    <row r="43" spans="2:10" x14ac:dyDescent="0.35">
      <c r="B43" s="17" t="s">
        <v>2544</v>
      </c>
      <c r="C43" s="5" t="s">
        <v>73</v>
      </c>
      <c r="D43" s="5" t="s">
        <v>74</v>
      </c>
      <c r="E43" s="3">
        <v>0</v>
      </c>
      <c r="F43" s="3">
        <v>28000</v>
      </c>
      <c r="G43" s="54">
        <f t="shared" si="0"/>
        <v>48000</v>
      </c>
      <c r="H43" s="62">
        <f t="shared" si="9"/>
        <v>50880</v>
      </c>
      <c r="I43" s="3">
        <f t="shared" si="6"/>
        <v>53678.399999999994</v>
      </c>
      <c r="J43" s="18">
        <f t="shared" si="7"/>
        <v>56523.355199999991</v>
      </c>
    </row>
    <row r="44" spans="2:10" x14ac:dyDescent="0.35">
      <c r="B44" s="17" t="s">
        <v>2544</v>
      </c>
      <c r="C44" s="5" t="s">
        <v>75</v>
      </c>
      <c r="D44" s="5" t="s">
        <v>76</v>
      </c>
      <c r="E44" s="3">
        <v>200</v>
      </c>
      <c r="F44" s="3">
        <v>0</v>
      </c>
      <c r="G44" s="54">
        <f t="shared" si="0"/>
        <v>0</v>
      </c>
      <c r="H44" s="62">
        <f t="shared" si="9"/>
        <v>0</v>
      </c>
      <c r="I44" s="3">
        <f t="shared" si="6"/>
        <v>0</v>
      </c>
      <c r="J44" s="18">
        <f t="shared" si="7"/>
        <v>0</v>
      </c>
    </row>
    <row r="45" spans="2:10" x14ac:dyDescent="0.35">
      <c r="B45" s="17" t="s">
        <v>2544</v>
      </c>
      <c r="C45" s="5" t="s">
        <v>77</v>
      </c>
      <c r="D45" s="5" t="s">
        <v>78</v>
      </c>
      <c r="E45" s="3">
        <v>100000</v>
      </c>
      <c r="F45" s="3">
        <v>0</v>
      </c>
      <c r="G45" s="54">
        <f t="shared" si="0"/>
        <v>0</v>
      </c>
      <c r="H45" s="62">
        <f t="shared" si="9"/>
        <v>0</v>
      </c>
      <c r="I45" s="3">
        <f t="shared" si="6"/>
        <v>0</v>
      </c>
      <c r="J45" s="18">
        <f t="shared" si="7"/>
        <v>0</v>
      </c>
    </row>
    <row r="46" spans="2:10" x14ac:dyDescent="0.35">
      <c r="B46" s="17" t="s">
        <v>2544</v>
      </c>
      <c r="C46" s="5" t="s">
        <v>79</v>
      </c>
      <c r="D46" s="5" t="s">
        <v>80</v>
      </c>
      <c r="E46" s="3">
        <v>625000</v>
      </c>
      <c r="F46" s="3">
        <f>4623341.4-9210.53</f>
        <v>4614130.87</v>
      </c>
      <c r="G46" s="54">
        <f t="shared" si="0"/>
        <v>7909938.6342857145</v>
      </c>
      <c r="H46" s="62">
        <f t="shared" si="9"/>
        <v>8384534.9523428576</v>
      </c>
      <c r="I46" s="3">
        <f t="shared" si="6"/>
        <v>8845684.3747217134</v>
      </c>
      <c r="J46" s="18">
        <f t="shared" si="7"/>
        <v>9314505.6465819627</v>
      </c>
    </row>
    <row r="47" spans="2:10" x14ac:dyDescent="0.35">
      <c r="B47" s="17" t="s">
        <v>2544</v>
      </c>
      <c r="C47" s="5" t="s">
        <v>81</v>
      </c>
      <c r="D47" s="5" t="s">
        <v>82</v>
      </c>
      <c r="E47" s="3">
        <v>500000</v>
      </c>
      <c r="F47" s="3">
        <v>0</v>
      </c>
      <c r="G47" s="54">
        <f t="shared" si="0"/>
        <v>0</v>
      </c>
      <c r="H47" s="62">
        <f t="shared" si="9"/>
        <v>0</v>
      </c>
      <c r="I47" s="3">
        <f t="shared" si="6"/>
        <v>0</v>
      </c>
      <c r="J47" s="18">
        <f t="shared" si="7"/>
        <v>0</v>
      </c>
    </row>
    <row r="48" spans="2:10" x14ac:dyDescent="0.35">
      <c r="B48" s="17" t="s">
        <v>2544</v>
      </c>
      <c r="C48" s="5" t="s">
        <v>83</v>
      </c>
      <c r="D48" s="5" t="s">
        <v>84</v>
      </c>
      <c r="E48" s="3">
        <v>0</v>
      </c>
      <c r="F48" s="3">
        <f>602-5416.42</f>
        <v>-4814.42</v>
      </c>
      <c r="G48" s="54">
        <f t="shared" si="0"/>
        <v>-8253.2914285714287</v>
      </c>
      <c r="H48" s="62">
        <f t="shared" si="9"/>
        <v>-8748.4889142857155</v>
      </c>
      <c r="I48" s="3">
        <f t="shared" si="6"/>
        <v>-9229.6558045714301</v>
      </c>
      <c r="J48" s="18">
        <f t="shared" si="7"/>
        <v>-9718.8275622137153</v>
      </c>
    </row>
    <row r="49" spans="2:11" x14ac:dyDescent="0.35">
      <c r="B49" s="17" t="s">
        <v>2544</v>
      </c>
      <c r="C49" s="5" t="s">
        <v>85</v>
      </c>
      <c r="D49" s="5" t="s">
        <v>86</v>
      </c>
      <c r="E49" s="3">
        <v>15000</v>
      </c>
      <c r="F49" s="3">
        <v>5878.84</v>
      </c>
      <c r="G49" s="54">
        <f t="shared" si="0"/>
        <v>10078.01142857143</v>
      </c>
      <c r="H49" s="62">
        <f t="shared" si="9"/>
        <v>10682.692114285715</v>
      </c>
      <c r="I49" s="3">
        <f t="shared" si="6"/>
        <v>11270.240180571429</v>
      </c>
      <c r="J49" s="18">
        <f t="shared" si="7"/>
        <v>11867.562910141714</v>
      </c>
    </row>
    <row r="50" spans="2:11" x14ac:dyDescent="0.35">
      <c r="B50" s="17" t="s">
        <v>2544</v>
      </c>
      <c r="C50" s="5" t="s">
        <v>87</v>
      </c>
      <c r="D50" s="5" t="s">
        <v>88</v>
      </c>
      <c r="E50" s="3">
        <v>0</v>
      </c>
      <c r="F50" s="3">
        <v>0</v>
      </c>
      <c r="G50" s="54">
        <f t="shared" si="0"/>
        <v>0</v>
      </c>
      <c r="H50" s="62">
        <f t="shared" si="9"/>
        <v>0</v>
      </c>
      <c r="I50" s="3">
        <f t="shared" si="6"/>
        <v>0</v>
      </c>
      <c r="J50" s="18">
        <f t="shared" si="7"/>
        <v>0</v>
      </c>
    </row>
    <row r="51" spans="2:11" x14ac:dyDescent="0.35">
      <c r="B51" s="17" t="s">
        <v>2544</v>
      </c>
      <c r="C51" s="5" t="s">
        <v>89</v>
      </c>
      <c r="D51" s="5" t="s">
        <v>90</v>
      </c>
      <c r="E51" s="3">
        <v>135000</v>
      </c>
      <c r="F51" s="3">
        <v>138272.78</v>
      </c>
      <c r="G51" s="54">
        <f t="shared" si="0"/>
        <v>237039.05142857146</v>
      </c>
      <c r="H51" s="62">
        <f t="shared" si="9"/>
        <v>251261.39451428576</v>
      </c>
      <c r="I51" s="3">
        <f t="shared" si="6"/>
        <v>265080.77121257148</v>
      </c>
      <c r="J51" s="18">
        <f t="shared" si="7"/>
        <v>279130.05208683776</v>
      </c>
    </row>
    <row r="52" spans="2:11" x14ac:dyDescent="0.35">
      <c r="B52" s="17" t="s">
        <v>2544</v>
      </c>
      <c r="C52" s="5" t="s">
        <v>91</v>
      </c>
      <c r="D52" s="5" t="s">
        <v>92</v>
      </c>
      <c r="E52" s="3">
        <v>2000</v>
      </c>
      <c r="F52" s="3">
        <f>35.76-33</f>
        <v>2.759999999999998</v>
      </c>
      <c r="G52" s="54">
        <f t="shared" si="0"/>
        <v>4.7314285714285678</v>
      </c>
      <c r="H52" s="62">
        <f t="shared" si="9"/>
        <v>5.0153142857142825</v>
      </c>
      <c r="I52" s="3">
        <f t="shared" si="6"/>
        <v>5.2911565714285675</v>
      </c>
      <c r="J52" s="18">
        <f t="shared" si="7"/>
        <v>5.5715878697142811</v>
      </c>
    </row>
    <row r="53" spans="2:11" x14ac:dyDescent="0.35">
      <c r="B53" s="17" t="s">
        <v>2544</v>
      </c>
      <c r="C53" s="5" t="s">
        <v>93</v>
      </c>
      <c r="D53" s="5" t="s">
        <v>94</v>
      </c>
      <c r="E53" s="3">
        <v>0</v>
      </c>
      <c r="F53" s="3"/>
      <c r="G53" s="54">
        <f t="shared" si="0"/>
        <v>0</v>
      </c>
      <c r="H53" s="62">
        <f t="shared" si="9"/>
        <v>0</v>
      </c>
      <c r="I53" s="3">
        <f t="shared" si="6"/>
        <v>0</v>
      </c>
      <c r="J53" s="18">
        <f t="shared" si="7"/>
        <v>0</v>
      </c>
    </row>
    <row r="54" spans="2:11" x14ac:dyDescent="0.35">
      <c r="B54" s="17" t="s">
        <v>2544</v>
      </c>
      <c r="C54" s="5" t="s">
        <v>95</v>
      </c>
      <c r="D54" s="5" t="s">
        <v>96</v>
      </c>
      <c r="E54" s="3">
        <v>0</v>
      </c>
      <c r="F54" s="3">
        <v>0</v>
      </c>
      <c r="G54" s="54">
        <f t="shared" si="0"/>
        <v>0</v>
      </c>
      <c r="H54" s="62">
        <f t="shared" si="9"/>
        <v>0</v>
      </c>
      <c r="I54" s="3">
        <f t="shared" si="6"/>
        <v>0</v>
      </c>
      <c r="J54" s="18">
        <f t="shared" si="7"/>
        <v>0</v>
      </c>
    </row>
    <row r="55" spans="2:11" x14ac:dyDescent="0.35">
      <c r="B55" s="17" t="s">
        <v>2544</v>
      </c>
      <c r="C55" s="5" t="s">
        <v>2603</v>
      </c>
      <c r="D55" s="5" t="s">
        <v>2604</v>
      </c>
      <c r="E55" s="3"/>
      <c r="F55" s="3">
        <v>56436.88</v>
      </c>
      <c r="G55" s="54">
        <f t="shared" si="0"/>
        <v>96748.937142857147</v>
      </c>
      <c r="H55" s="62">
        <f t="shared" si="9"/>
        <v>102553.87337142858</v>
      </c>
      <c r="I55" s="3">
        <f t="shared" si="6"/>
        <v>108194.33640685714</v>
      </c>
      <c r="J55" s="18">
        <f t="shared" si="7"/>
        <v>113928.63623642056</v>
      </c>
    </row>
    <row r="56" spans="2:11" x14ac:dyDescent="0.35">
      <c r="B56" s="17" t="s">
        <v>2544</v>
      </c>
      <c r="C56" s="5" t="s">
        <v>2605</v>
      </c>
      <c r="D56" s="5" t="s">
        <v>2659</v>
      </c>
      <c r="E56" s="3">
        <v>30000</v>
      </c>
      <c r="F56" s="3">
        <v>18619.12</v>
      </c>
      <c r="G56" s="54">
        <f t="shared" si="0"/>
        <v>31918.491428571426</v>
      </c>
      <c r="H56" s="78">
        <f t="shared" si="9"/>
        <v>33833.600914285715</v>
      </c>
      <c r="I56" s="3">
        <f t="shared" si="6"/>
        <v>35694.448964571427</v>
      </c>
      <c r="J56" s="18">
        <f t="shared" si="7"/>
        <v>37586.254759693707</v>
      </c>
    </row>
    <row r="57" spans="2:11" x14ac:dyDescent="0.35">
      <c r="B57" s="17" t="s">
        <v>2544</v>
      </c>
      <c r="C57" s="5" t="s">
        <v>97</v>
      </c>
      <c r="D57" s="5" t="s">
        <v>98</v>
      </c>
      <c r="E57" s="3">
        <v>100000</v>
      </c>
      <c r="F57" s="3">
        <f>99655.26-6041.16</f>
        <v>93614.099999999991</v>
      </c>
      <c r="G57" s="54">
        <f t="shared" si="0"/>
        <v>160481.31428571427</v>
      </c>
      <c r="H57" s="62">
        <f t="shared" si="9"/>
        <v>170110.19314285714</v>
      </c>
      <c r="I57" s="3">
        <f t="shared" si="6"/>
        <v>179466.25376571427</v>
      </c>
      <c r="J57" s="18">
        <f t="shared" si="7"/>
        <v>188977.96521529712</v>
      </c>
    </row>
    <row r="58" spans="2:11" x14ac:dyDescent="0.35">
      <c r="B58" s="17" t="s">
        <v>2544</v>
      </c>
      <c r="C58" s="5" t="s">
        <v>99</v>
      </c>
      <c r="D58" s="5" t="s">
        <v>100</v>
      </c>
      <c r="E58" s="3">
        <v>0</v>
      </c>
      <c r="F58" s="3">
        <v>1399.19</v>
      </c>
      <c r="G58" s="54">
        <f t="shared" si="0"/>
        <v>2398.6114285714284</v>
      </c>
      <c r="H58" s="62">
        <f t="shared" si="9"/>
        <v>2542.5281142857143</v>
      </c>
      <c r="I58" s="3">
        <f t="shared" si="6"/>
        <v>2682.3671605714285</v>
      </c>
      <c r="J58" s="18">
        <f t="shared" si="7"/>
        <v>2824.532620081714</v>
      </c>
    </row>
    <row r="59" spans="2:11" x14ac:dyDescent="0.35">
      <c r="B59" s="17" t="s">
        <v>2544</v>
      </c>
      <c r="C59" s="5" t="s">
        <v>101</v>
      </c>
      <c r="D59" s="5" t="s">
        <v>2660</v>
      </c>
      <c r="E59" s="3">
        <v>0</v>
      </c>
      <c r="F59" s="3">
        <v>0</v>
      </c>
      <c r="G59" s="54">
        <f t="shared" si="0"/>
        <v>0</v>
      </c>
      <c r="H59" s="78">
        <v>50000</v>
      </c>
      <c r="I59" s="3">
        <f t="shared" si="6"/>
        <v>52750</v>
      </c>
      <c r="J59" s="18">
        <f t="shared" si="7"/>
        <v>55545.75</v>
      </c>
      <c r="K59" t="s">
        <v>2661</v>
      </c>
    </row>
    <row r="60" spans="2:11" x14ac:dyDescent="0.35">
      <c r="B60" s="17" t="s">
        <v>2544</v>
      </c>
      <c r="C60" s="5" t="s">
        <v>103</v>
      </c>
      <c r="D60" s="5" t="s">
        <v>62</v>
      </c>
      <c r="E60" s="3">
        <v>0</v>
      </c>
      <c r="F60" s="3">
        <v>0</v>
      </c>
      <c r="G60" s="54">
        <f t="shared" si="0"/>
        <v>0</v>
      </c>
      <c r="H60" s="62">
        <f t="shared" si="9"/>
        <v>0</v>
      </c>
      <c r="I60" s="3">
        <f t="shared" si="6"/>
        <v>0</v>
      </c>
      <c r="J60" s="18">
        <f t="shared" si="7"/>
        <v>0</v>
      </c>
    </row>
    <row r="61" spans="2:11" x14ac:dyDescent="0.35">
      <c r="B61" s="17" t="s">
        <v>2544</v>
      </c>
      <c r="C61" s="5" t="s">
        <v>105</v>
      </c>
      <c r="D61" s="5" t="s">
        <v>106</v>
      </c>
      <c r="E61" s="3">
        <v>0</v>
      </c>
      <c r="F61" s="3">
        <v>1037.73</v>
      </c>
      <c r="G61" s="54">
        <f t="shared" si="0"/>
        <v>1778.9657142857141</v>
      </c>
      <c r="H61" s="62">
        <f t="shared" si="9"/>
        <v>1885.7036571428571</v>
      </c>
      <c r="I61" s="3">
        <f t="shared" si="6"/>
        <v>1989.417358285714</v>
      </c>
      <c r="J61" s="18">
        <f t="shared" si="7"/>
        <v>2094.8564782748567</v>
      </c>
    </row>
    <row r="62" spans="2:11" x14ac:dyDescent="0.35">
      <c r="B62" s="17" t="s">
        <v>2544</v>
      </c>
      <c r="C62" s="5" t="s">
        <v>107</v>
      </c>
      <c r="D62" s="5" t="s">
        <v>108</v>
      </c>
      <c r="E62" s="3">
        <v>0</v>
      </c>
      <c r="F62" s="3">
        <v>0</v>
      </c>
      <c r="G62" s="54">
        <f t="shared" si="0"/>
        <v>0</v>
      </c>
      <c r="H62" s="62">
        <f t="shared" si="9"/>
        <v>0</v>
      </c>
      <c r="I62" s="3">
        <f t="shared" si="6"/>
        <v>0</v>
      </c>
      <c r="J62" s="18">
        <f t="shared" si="7"/>
        <v>0</v>
      </c>
    </row>
    <row r="63" spans="2:11" x14ac:dyDescent="0.35">
      <c r="B63" s="17" t="s">
        <v>2544</v>
      </c>
      <c r="C63" s="5" t="s">
        <v>109</v>
      </c>
      <c r="D63" s="5" t="s">
        <v>110</v>
      </c>
      <c r="E63" s="3">
        <v>0</v>
      </c>
      <c r="F63" s="3">
        <v>0</v>
      </c>
      <c r="G63" s="54">
        <f t="shared" si="0"/>
        <v>0</v>
      </c>
      <c r="H63" s="62">
        <f t="shared" si="9"/>
        <v>0</v>
      </c>
      <c r="I63" s="3">
        <f t="shared" si="6"/>
        <v>0</v>
      </c>
      <c r="J63" s="18">
        <f t="shared" si="7"/>
        <v>0</v>
      </c>
    </row>
    <row r="64" spans="2:11" x14ac:dyDescent="0.35">
      <c r="B64" s="17" t="s">
        <v>2544</v>
      </c>
      <c r="C64" s="5" t="s">
        <v>111</v>
      </c>
      <c r="D64" s="5" t="s">
        <v>112</v>
      </c>
      <c r="E64" s="3">
        <v>0</v>
      </c>
      <c r="F64" s="3">
        <v>0</v>
      </c>
      <c r="G64" s="54">
        <f t="shared" si="0"/>
        <v>0</v>
      </c>
      <c r="H64" s="62">
        <f t="shared" si="9"/>
        <v>0</v>
      </c>
      <c r="I64" s="3">
        <f t="shared" si="6"/>
        <v>0</v>
      </c>
      <c r="J64" s="18">
        <f t="shared" si="7"/>
        <v>0</v>
      </c>
    </row>
    <row r="65" spans="1:10" x14ac:dyDescent="0.35">
      <c r="B65" s="17" t="s">
        <v>2544</v>
      </c>
      <c r="C65" s="5" t="s">
        <v>113</v>
      </c>
      <c r="D65" s="5" t="s">
        <v>114</v>
      </c>
      <c r="E65" s="3">
        <f>250+1500</f>
        <v>1750</v>
      </c>
      <c r="F65" s="3">
        <v>0</v>
      </c>
      <c r="G65" s="54">
        <f t="shared" si="0"/>
        <v>0</v>
      </c>
      <c r="H65" s="62">
        <f t="shared" si="9"/>
        <v>0</v>
      </c>
      <c r="I65" s="3">
        <f t="shared" si="6"/>
        <v>0</v>
      </c>
      <c r="J65" s="18">
        <f t="shared" si="7"/>
        <v>0</v>
      </c>
    </row>
    <row r="66" spans="1:10" x14ac:dyDescent="0.35">
      <c r="B66" s="17" t="s">
        <v>2544</v>
      </c>
      <c r="C66" s="5" t="s">
        <v>115</v>
      </c>
      <c r="D66" s="5" t="s">
        <v>116</v>
      </c>
      <c r="E66" s="3">
        <v>0</v>
      </c>
      <c r="F66" s="3">
        <v>250</v>
      </c>
      <c r="G66" s="54">
        <f t="shared" si="0"/>
        <v>428.57142857142856</v>
      </c>
      <c r="H66" s="62">
        <f t="shared" si="9"/>
        <v>454.28571428571428</v>
      </c>
      <c r="I66" s="3">
        <f t="shared" si="6"/>
        <v>479.27142857142854</v>
      </c>
      <c r="J66" s="18">
        <f t="shared" si="7"/>
        <v>504.67281428571425</v>
      </c>
    </row>
    <row r="67" spans="1:10" x14ac:dyDescent="0.35">
      <c r="B67" s="17" t="s">
        <v>2544</v>
      </c>
      <c r="C67" s="5" t="s">
        <v>117</v>
      </c>
      <c r="D67" s="5" t="s">
        <v>118</v>
      </c>
      <c r="E67" s="3">
        <v>0</v>
      </c>
      <c r="F67" s="3">
        <v>0</v>
      </c>
      <c r="G67" s="54">
        <f t="shared" si="0"/>
        <v>0</v>
      </c>
      <c r="H67" s="62">
        <f t="shared" si="9"/>
        <v>0</v>
      </c>
      <c r="I67" s="3">
        <f t="shared" si="6"/>
        <v>0</v>
      </c>
      <c r="J67" s="18">
        <f t="shared" si="7"/>
        <v>0</v>
      </c>
    </row>
    <row r="68" spans="1:10" x14ac:dyDescent="0.35">
      <c r="B68" s="17" t="s">
        <v>2544</v>
      </c>
      <c r="C68" s="5" t="s">
        <v>119</v>
      </c>
      <c r="D68" s="5" t="s">
        <v>120</v>
      </c>
      <c r="E68" s="3">
        <v>0</v>
      </c>
      <c r="F68" s="3">
        <v>0</v>
      </c>
      <c r="G68" s="54">
        <f t="shared" si="0"/>
        <v>0</v>
      </c>
      <c r="H68" s="62">
        <f t="shared" si="9"/>
        <v>0</v>
      </c>
      <c r="I68" s="3">
        <f t="shared" si="6"/>
        <v>0</v>
      </c>
      <c r="J68" s="18">
        <f t="shared" si="7"/>
        <v>0</v>
      </c>
    </row>
    <row r="69" spans="1:10" x14ac:dyDescent="0.35">
      <c r="B69" s="17" t="s">
        <v>2544</v>
      </c>
      <c r="C69" s="5" t="s">
        <v>121</v>
      </c>
      <c r="D69" s="5" t="s">
        <v>122</v>
      </c>
      <c r="E69" s="3">
        <v>-1621438</v>
      </c>
      <c r="F69" s="3">
        <v>0</v>
      </c>
      <c r="G69" s="54">
        <f t="shared" si="0"/>
        <v>0</v>
      </c>
      <c r="H69" s="62">
        <f t="shared" si="9"/>
        <v>0</v>
      </c>
      <c r="I69" s="3">
        <f t="shared" si="6"/>
        <v>0</v>
      </c>
      <c r="J69" s="18">
        <f t="shared" si="7"/>
        <v>0</v>
      </c>
    </row>
    <row r="70" spans="1:10" x14ac:dyDescent="0.35">
      <c r="B70" s="17" t="s">
        <v>2544</v>
      </c>
      <c r="C70" s="5" t="s">
        <v>123</v>
      </c>
      <c r="D70" s="5" t="s">
        <v>124</v>
      </c>
      <c r="E70" s="3">
        <v>0</v>
      </c>
      <c r="F70" s="3">
        <v>0</v>
      </c>
      <c r="G70" s="54">
        <f t="shared" si="0"/>
        <v>0</v>
      </c>
      <c r="H70" s="62">
        <f t="shared" si="9"/>
        <v>0</v>
      </c>
      <c r="I70" s="3">
        <f t="shared" si="6"/>
        <v>0</v>
      </c>
      <c r="J70" s="18">
        <f t="shared" si="7"/>
        <v>0</v>
      </c>
    </row>
    <row r="71" spans="1:10" s="8" customFormat="1" x14ac:dyDescent="0.35">
      <c r="B71" s="46" t="s">
        <v>2546</v>
      </c>
      <c r="C71" s="5"/>
      <c r="D71" s="5"/>
      <c r="E71" s="10">
        <f>SUM(E23:E70)</f>
        <v>2463655</v>
      </c>
      <c r="F71" s="10">
        <f t="shared" ref="F71:J71" si="10">SUM(F23:F70)</f>
        <v>6582900.4200000009</v>
      </c>
      <c r="G71" s="59">
        <f t="shared" si="10"/>
        <v>11284972.148571428</v>
      </c>
      <c r="H71" s="63">
        <f t="shared" si="10"/>
        <v>12006481.657245716</v>
      </c>
      <c r="I71" s="10">
        <f t="shared" si="10"/>
        <v>12666838.148394227</v>
      </c>
      <c r="J71" s="22">
        <f t="shared" si="10"/>
        <v>13338180.57025912</v>
      </c>
    </row>
    <row r="72" spans="1:10" s="8" customFormat="1" ht="7.5" customHeight="1" x14ac:dyDescent="0.35">
      <c r="B72" s="23"/>
      <c r="E72" s="9"/>
      <c r="F72" s="9"/>
      <c r="G72" s="9"/>
      <c r="H72" s="64"/>
      <c r="I72" s="9"/>
      <c r="J72" s="21"/>
    </row>
    <row r="73" spans="1:10" s="8" customFormat="1" ht="15" thickBot="1" x14ac:dyDescent="0.4">
      <c r="B73" s="24" t="s">
        <v>2548</v>
      </c>
      <c r="C73" s="25"/>
      <c r="D73" s="25"/>
      <c r="E73" s="26">
        <f>+E21+E71</f>
        <v>-3035885</v>
      </c>
      <c r="F73" s="26">
        <f t="shared" ref="F73:J73" si="11">+F21+F71</f>
        <v>-4159700.3199999975</v>
      </c>
      <c r="G73" s="60">
        <f t="shared" si="11"/>
        <v>-7130914.8342857175</v>
      </c>
      <c r="H73" s="65">
        <f t="shared" si="11"/>
        <v>-7471227.7684685681</v>
      </c>
      <c r="I73" s="26">
        <f t="shared" si="11"/>
        <v>-7882145.2957343422</v>
      </c>
      <c r="J73" s="27">
        <f t="shared" si="11"/>
        <v>-8299898.9964082614</v>
      </c>
    </row>
    <row r="74" spans="1:10" s="8" customFormat="1" x14ac:dyDescent="0.35">
      <c r="E74" s="9"/>
      <c r="F74" s="9"/>
      <c r="G74" s="9"/>
      <c r="H74" s="9"/>
      <c r="I74" s="9"/>
      <c r="J74" s="9"/>
    </row>
    <row r="75" spans="1:10" s="8" customFormat="1" x14ac:dyDescent="0.35">
      <c r="E75" s="9"/>
      <c r="F75" s="9"/>
      <c r="G75" s="9"/>
      <c r="H75" s="9"/>
      <c r="I75" s="9"/>
      <c r="J75" s="9"/>
    </row>
    <row r="76" spans="1:10" s="8" customFormat="1" ht="15" thickBot="1" x14ac:dyDescent="0.4">
      <c r="A76" s="28" t="s">
        <v>2549</v>
      </c>
      <c r="B76" s="28" t="s">
        <v>2588</v>
      </c>
      <c r="E76" s="9"/>
      <c r="F76" s="9"/>
      <c r="G76" s="9"/>
      <c r="H76" s="9"/>
      <c r="I76" s="9"/>
      <c r="J76" s="9"/>
    </row>
    <row r="77" spans="1:10" x14ac:dyDescent="0.35">
      <c r="B77" s="31" t="s">
        <v>2543</v>
      </c>
      <c r="C77" s="14" t="s">
        <v>125</v>
      </c>
      <c r="D77" s="14" t="s">
        <v>126</v>
      </c>
      <c r="E77" s="15">
        <v>0</v>
      </c>
      <c r="F77" s="15">
        <f>7145.73-14489.4</f>
        <v>-7343.67</v>
      </c>
      <c r="G77" s="58">
        <f t="shared" ref="G77:G111" si="12">+F77/7*12</f>
        <v>-12589.148571428574</v>
      </c>
      <c r="H77" s="61">
        <f>+G77*1.06</f>
        <v>-13344.497485714288</v>
      </c>
      <c r="I77" s="15">
        <f>+H77*1.055</f>
        <v>-14078.444847428573</v>
      </c>
      <c r="J77" s="16">
        <f>+I77*1.053</f>
        <v>-14824.602424342287</v>
      </c>
    </row>
    <row r="78" spans="1:10" x14ac:dyDescent="0.35">
      <c r="B78" s="32" t="s">
        <v>2543</v>
      </c>
      <c r="C78" s="5" t="s">
        <v>127</v>
      </c>
      <c r="D78" s="5" t="s">
        <v>128</v>
      </c>
      <c r="E78" s="3">
        <v>0</v>
      </c>
      <c r="F78" s="3">
        <v>0</v>
      </c>
      <c r="G78" s="54">
        <f t="shared" si="12"/>
        <v>0</v>
      </c>
      <c r="H78" s="62">
        <f t="shared" ref="H78:H111" si="13">+G78*1.06</f>
        <v>0</v>
      </c>
      <c r="I78" s="3">
        <f t="shared" ref="I78:I110" si="14">+H78*1.055</f>
        <v>0</v>
      </c>
      <c r="J78" s="18">
        <f t="shared" ref="J78:J111" si="15">+I78*1.053</f>
        <v>0</v>
      </c>
    </row>
    <row r="79" spans="1:10" x14ac:dyDescent="0.35">
      <c r="B79" s="32" t="s">
        <v>2543</v>
      </c>
      <c r="C79" s="5" t="s">
        <v>129</v>
      </c>
      <c r="D79" s="5" t="s">
        <v>130</v>
      </c>
      <c r="E79" s="3">
        <v>0</v>
      </c>
      <c r="F79" s="3">
        <v>-3500</v>
      </c>
      <c r="G79" s="54">
        <f t="shared" si="12"/>
        <v>-6000</v>
      </c>
      <c r="H79" s="62">
        <f t="shared" si="13"/>
        <v>-6360</v>
      </c>
      <c r="I79" s="3">
        <f t="shared" si="14"/>
        <v>-6709.7999999999993</v>
      </c>
      <c r="J79" s="18">
        <f t="shared" si="15"/>
        <v>-7065.4193999999989</v>
      </c>
    </row>
    <row r="80" spans="1:10" x14ac:dyDescent="0.35">
      <c r="B80" s="32" t="s">
        <v>2543</v>
      </c>
      <c r="C80" s="5" t="s">
        <v>131</v>
      </c>
      <c r="D80" s="5" t="s">
        <v>132</v>
      </c>
      <c r="E80" s="3">
        <v>-2000</v>
      </c>
      <c r="F80" s="3">
        <v>-2414.58</v>
      </c>
      <c r="G80" s="54">
        <f t="shared" si="12"/>
        <v>-4139.28</v>
      </c>
      <c r="H80" s="62">
        <f t="shared" si="13"/>
        <v>-4387.6368000000002</v>
      </c>
      <c r="I80" s="3">
        <f t="shared" si="14"/>
        <v>-4628.9568239999999</v>
      </c>
      <c r="J80" s="18">
        <f t="shared" si="15"/>
        <v>-4874.2915356719996</v>
      </c>
    </row>
    <row r="81" spans="2:10" x14ac:dyDescent="0.35">
      <c r="B81" s="32" t="s">
        <v>2543</v>
      </c>
      <c r="C81" s="5" t="s">
        <v>133</v>
      </c>
      <c r="D81" s="5" t="s">
        <v>134</v>
      </c>
      <c r="E81" s="3">
        <v>0</v>
      </c>
      <c r="F81" s="3">
        <f>5079.77-2549.91</f>
        <v>2529.8600000000006</v>
      </c>
      <c r="G81" s="54">
        <f t="shared" si="12"/>
        <v>4336.902857142858</v>
      </c>
      <c r="H81" s="62">
        <f t="shared" si="13"/>
        <v>4597.1170285714297</v>
      </c>
      <c r="I81" s="3">
        <f t="shared" si="14"/>
        <v>4849.9584651428577</v>
      </c>
      <c r="J81" s="18">
        <f t="shared" si="15"/>
        <v>5107.0062637954288</v>
      </c>
    </row>
    <row r="82" spans="2:10" x14ac:dyDescent="0.35">
      <c r="B82" s="32" t="s">
        <v>2543</v>
      </c>
      <c r="C82" s="5" t="s">
        <v>135</v>
      </c>
      <c r="D82" s="5" t="s">
        <v>136</v>
      </c>
      <c r="E82" s="3">
        <v>-55000</v>
      </c>
      <c r="F82" s="3">
        <v>-106548.62</v>
      </c>
      <c r="G82" s="54">
        <f t="shared" si="12"/>
        <v>-182654.77714285714</v>
      </c>
      <c r="H82" s="62">
        <f t="shared" si="13"/>
        <v>-193614.06377142857</v>
      </c>
      <c r="I82" s="3">
        <f t="shared" si="14"/>
        <v>-204262.83727885713</v>
      </c>
      <c r="J82" s="18">
        <f t="shared" si="15"/>
        <v>-215088.76765463655</v>
      </c>
    </row>
    <row r="83" spans="2:10" x14ac:dyDescent="0.35">
      <c r="B83" s="32" t="s">
        <v>2543</v>
      </c>
      <c r="C83" s="5" t="s">
        <v>137</v>
      </c>
      <c r="D83" s="5" t="s">
        <v>138</v>
      </c>
      <c r="E83" s="3">
        <v>-489670</v>
      </c>
      <c r="F83" s="3">
        <f>20.61-396062.26</f>
        <v>-396041.65</v>
      </c>
      <c r="G83" s="54">
        <f t="shared" si="12"/>
        <v>-678928.54285714286</v>
      </c>
      <c r="H83" s="62">
        <f t="shared" si="13"/>
        <v>-719664.25542857149</v>
      </c>
      <c r="I83" s="3">
        <f t="shared" si="14"/>
        <v>-759245.78947714285</v>
      </c>
      <c r="J83" s="18">
        <f t="shared" si="15"/>
        <v>-799485.81631943141</v>
      </c>
    </row>
    <row r="84" spans="2:10" x14ac:dyDescent="0.35">
      <c r="B84" s="32" t="s">
        <v>2543</v>
      </c>
      <c r="C84" s="5" t="s">
        <v>139</v>
      </c>
      <c r="D84" s="5" t="s">
        <v>6</v>
      </c>
      <c r="E84" s="3">
        <v>0</v>
      </c>
      <c r="F84" s="3">
        <v>-20</v>
      </c>
      <c r="G84" s="54">
        <f t="shared" si="12"/>
        <v>-34.285714285714285</v>
      </c>
      <c r="H84" s="62">
        <f t="shared" si="13"/>
        <v>-36.342857142857142</v>
      </c>
      <c r="I84" s="3">
        <f t="shared" si="14"/>
        <v>-38.341714285714282</v>
      </c>
      <c r="J84" s="18">
        <f t="shared" si="15"/>
        <v>-40.373825142857136</v>
      </c>
    </row>
    <row r="85" spans="2:10" x14ac:dyDescent="0.35">
      <c r="B85" s="32" t="s">
        <v>2543</v>
      </c>
      <c r="C85" s="5" t="s">
        <v>140</v>
      </c>
      <c r="D85" s="5" t="s">
        <v>141</v>
      </c>
      <c r="E85" s="3">
        <v>0</v>
      </c>
      <c r="F85" s="3">
        <v>-49764.9</v>
      </c>
      <c r="G85" s="54">
        <f t="shared" si="12"/>
        <v>-85311.257142857154</v>
      </c>
      <c r="H85" s="62">
        <f t="shared" si="13"/>
        <v>-90429.932571428581</v>
      </c>
      <c r="I85" s="3">
        <f t="shared" si="14"/>
        <v>-95403.578862857146</v>
      </c>
      <c r="J85" s="18">
        <f t="shared" si="15"/>
        <v>-100459.96854258857</v>
      </c>
    </row>
    <row r="86" spans="2:10" x14ac:dyDescent="0.35">
      <c r="B86" s="32" t="s">
        <v>2543</v>
      </c>
      <c r="C86" s="5" t="s">
        <v>142</v>
      </c>
      <c r="D86" s="5" t="s">
        <v>143</v>
      </c>
      <c r="E86" s="3">
        <v>-17000</v>
      </c>
      <c r="F86" s="3">
        <v>-10919</v>
      </c>
      <c r="G86" s="54">
        <f t="shared" si="12"/>
        <v>-18718.285714285714</v>
      </c>
      <c r="H86" s="62">
        <f t="shared" si="13"/>
        <v>-19841.382857142857</v>
      </c>
      <c r="I86" s="3">
        <f t="shared" si="14"/>
        <v>-20932.658914285712</v>
      </c>
      <c r="J86" s="18">
        <f t="shared" si="15"/>
        <v>-22042.089836742853</v>
      </c>
    </row>
    <row r="87" spans="2:10" x14ac:dyDescent="0.35">
      <c r="B87" s="32" t="s">
        <v>2543</v>
      </c>
      <c r="C87" s="5" t="s">
        <v>144</v>
      </c>
      <c r="D87" s="5" t="s">
        <v>145</v>
      </c>
      <c r="E87" s="3">
        <v>-185000</v>
      </c>
      <c r="F87" s="3">
        <f>28484.45-125197.3</f>
        <v>-96712.85</v>
      </c>
      <c r="G87" s="54">
        <f t="shared" si="12"/>
        <v>-165793.45714285714</v>
      </c>
      <c r="H87" s="62">
        <f t="shared" si="13"/>
        <v>-175741.06457142858</v>
      </c>
      <c r="I87" s="3">
        <f t="shared" si="14"/>
        <v>-185406.82312285714</v>
      </c>
      <c r="J87" s="18">
        <f t="shared" si="15"/>
        <v>-195233.38474836855</v>
      </c>
    </row>
    <row r="88" spans="2:10" x14ac:dyDescent="0.35">
      <c r="B88" s="32" t="s">
        <v>2543</v>
      </c>
      <c r="C88" s="5" t="s">
        <v>146</v>
      </c>
      <c r="D88" s="5" t="s">
        <v>147</v>
      </c>
      <c r="E88" s="3">
        <v>0</v>
      </c>
      <c r="F88" s="3">
        <f>824482.83-824482.85</f>
        <v>-2.0000000018626451E-2</v>
      </c>
      <c r="G88" s="54">
        <f t="shared" si="12"/>
        <v>-3.4285714317645349E-2</v>
      </c>
      <c r="H88" s="62">
        <f t="shared" si="13"/>
        <v>-3.6342857176704074E-2</v>
      </c>
      <c r="I88" s="3">
        <f t="shared" si="14"/>
        <v>-3.8341714321422797E-2</v>
      </c>
      <c r="J88" s="18">
        <f t="shared" si="15"/>
        <v>-4.0373825180458206E-2</v>
      </c>
    </row>
    <row r="89" spans="2:10" x14ac:dyDescent="0.35">
      <c r="B89" s="32" t="s">
        <v>2543</v>
      </c>
      <c r="C89" s="5" t="s">
        <v>148</v>
      </c>
      <c r="D89" s="5" t="s">
        <v>149</v>
      </c>
      <c r="E89" s="3">
        <v>0</v>
      </c>
      <c r="F89" s="3">
        <v>-133</v>
      </c>
      <c r="G89" s="54">
        <f t="shared" si="12"/>
        <v>-228</v>
      </c>
      <c r="H89" s="62">
        <f t="shared" si="13"/>
        <v>-241.68</v>
      </c>
      <c r="I89" s="3">
        <f t="shared" si="14"/>
        <v>-254.97239999999999</v>
      </c>
      <c r="J89" s="18">
        <f t="shared" si="15"/>
        <v>-268.48593719999997</v>
      </c>
    </row>
    <row r="90" spans="2:10" x14ac:dyDescent="0.35">
      <c r="B90" s="32" t="s">
        <v>2543</v>
      </c>
      <c r="C90" s="5" t="s">
        <v>150</v>
      </c>
      <c r="D90" s="5" t="s">
        <v>151</v>
      </c>
      <c r="E90" s="3">
        <v>0</v>
      </c>
      <c r="F90" s="3">
        <v>0</v>
      </c>
      <c r="G90" s="54">
        <f t="shared" si="12"/>
        <v>0</v>
      </c>
      <c r="H90" s="62">
        <f t="shared" si="13"/>
        <v>0</v>
      </c>
      <c r="I90" s="3">
        <f t="shared" si="14"/>
        <v>0</v>
      </c>
      <c r="J90" s="18">
        <f t="shared" si="15"/>
        <v>0</v>
      </c>
    </row>
    <row r="91" spans="2:10" x14ac:dyDescent="0.35">
      <c r="B91" s="32" t="s">
        <v>2543</v>
      </c>
      <c r="C91" s="5" t="s">
        <v>152</v>
      </c>
      <c r="D91" s="5" t="s">
        <v>153</v>
      </c>
      <c r="E91" s="3">
        <v>-18000</v>
      </c>
      <c r="F91" s="3">
        <v>-10724</v>
      </c>
      <c r="G91" s="54">
        <f t="shared" si="12"/>
        <v>-18384</v>
      </c>
      <c r="H91" s="62">
        <f t="shared" si="13"/>
        <v>-19487.04</v>
      </c>
      <c r="I91" s="3">
        <f t="shared" si="14"/>
        <v>-20558.8272</v>
      </c>
      <c r="J91" s="18">
        <f t="shared" si="15"/>
        <v>-21648.4450416</v>
      </c>
    </row>
    <row r="92" spans="2:10" x14ac:dyDescent="0.35">
      <c r="B92" s="32" t="s">
        <v>2543</v>
      </c>
      <c r="C92" s="5" t="s">
        <v>154</v>
      </c>
      <c r="D92" s="5" t="s">
        <v>155</v>
      </c>
      <c r="E92" s="3">
        <v>0</v>
      </c>
      <c r="F92" s="3">
        <f>1104.91-6734.64</f>
        <v>-5629.7300000000005</v>
      </c>
      <c r="G92" s="54">
        <f t="shared" si="12"/>
        <v>-9650.9657142857141</v>
      </c>
      <c r="H92" s="62">
        <f t="shared" si="13"/>
        <v>-10230.023657142858</v>
      </c>
      <c r="I92" s="3">
        <f t="shared" si="14"/>
        <v>-10792.674958285714</v>
      </c>
      <c r="J92" s="18">
        <f t="shared" si="15"/>
        <v>-11364.686731074857</v>
      </c>
    </row>
    <row r="93" spans="2:10" x14ac:dyDescent="0.35">
      <c r="B93" s="32" t="s">
        <v>2543</v>
      </c>
      <c r="C93" s="5" t="s">
        <v>156</v>
      </c>
      <c r="D93" s="5" t="s">
        <v>157</v>
      </c>
      <c r="E93" s="3">
        <v>-1800000</v>
      </c>
      <c r="F93" s="3">
        <v>-1800000</v>
      </c>
      <c r="G93" s="54">
        <f t="shared" si="12"/>
        <v>-3085714.2857142854</v>
      </c>
      <c r="H93" s="62">
        <f t="shared" si="13"/>
        <v>-3270857.1428571427</v>
      </c>
      <c r="I93" s="3">
        <f t="shared" si="14"/>
        <v>-3450754.2857142854</v>
      </c>
      <c r="J93" s="18">
        <f t="shared" si="15"/>
        <v>-3633644.2628571424</v>
      </c>
    </row>
    <row r="94" spans="2:10" x14ac:dyDescent="0.35">
      <c r="B94" s="32" t="s">
        <v>2543</v>
      </c>
      <c r="C94" s="5" t="s">
        <v>158</v>
      </c>
      <c r="D94" s="5" t="s">
        <v>159</v>
      </c>
      <c r="E94" s="3">
        <v>0</v>
      </c>
      <c r="F94" s="3">
        <v>-7030.57</v>
      </c>
      <c r="G94" s="54">
        <f t="shared" si="12"/>
        <v>-12052.405714285713</v>
      </c>
      <c r="H94" s="62">
        <f t="shared" si="13"/>
        <v>-12775.550057142857</v>
      </c>
      <c r="I94" s="3">
        <f t="shared" si="14"/>
        <v>-13478.205310285713</v>
      </c>
      <c r="J94" s="18">
        <f t="shared" si="15"/>
        <v>-14192.550191730856</v>
      </c>
    </row>
    <row r="95" spans="2:10" x14ac:dyDescent="0.35">
      <c r="B95" s="32" t="s">
        <v>2543</v>
      </c>
      <c r="C95" s="5" t="s">
        <v>160</v>
      </c>
      <c r="D95" s="5" t="s">
        <v>2609</v>
      </c>
      <c r="E95" s="3">
        <v>-934000</v>
      </c>
      <c r="F95" s="3">
        <v>-934000</v>
      </c>
      <c r="G95" s="54">
        <f t="shared" si="12"/>
        <v>-1601142.857142857</v>
      </c>
      <c r="H95" s="62">
        <f t="shared" si="13"/>
        <v>-1697211.4285714286</v>
      </c>
      <c r="I95" s="3">
        <f t="shared" si="14"/>
        <v>-1790558.057142857</v>
      </c>
      <c r="J95" s="18">
        <f t="shared" si="15"/>
        <v>-1885457.6341714284</v>
      </c>
    </row>
    <row r="96" spans="2:10" x14ac:dyDescent="0.35">
      <c r="B96" s="32" t="s">
        <v>2543</v>
      </c>
      <c r="C96" s="5" t="s">
        <v>162</v>
      </c>
      <c r="D96" s="5" t="s">
        <v>163</v>
      </c>
      <c r="E96" s="3">
        <v>-10490000</v>
      </c>
      <c r="F96" s="3">
        <v>-8982636.4000000004</v>
      </c>
      <c r="G96" s="54">
        <f t="shared" si="12"/>
        <v>-15398805.257142859</v>
      </c>
      <c r="H96" s="62">
        <f t="shared" si="13"/>
        <v>-16322733.57257143</v>
      </c>
      <c r="I96" s="3">
        <f t="shared" si="14"/>
        <v>-17220483.919062857</v>
      </c>
      <c r="J96" s="18">
        <f t="shared" si="15"/>
        <v>-18133169.566773187</v>
      </c>
    </row>
    <row r="97" spans="2:10" x14ac:dyDescent="0.35">
      <c r="B97" s="32" t="s">
        <v>2543</v>
      </c>
      <c r="C97" s="5" t="s">
        <v>164</v>
      </c>
      <c r="D97" s="5" t="s">
        <v>165</v>
      </c>
      <c r="E97" s="3">
        <v>0</v>
      </c>
      <c r="F97" s="3">
        <v>0</v>
      </c>
      <c r="G97" s="54">
        <f t="shared" si="12"/>
        <v>0</v>
      </c>
      <c r="H97" s="62">
        <f t="shared" si="13"/>
        <v>0</v>
      </c>
      <c r="I97" s="3">
        <f t="shared" si="14"/>
        <v>0</v>
      </c>
      <c r="J97" s="18">
        <f t="shared" si="15"/>
        <v>0</v>
      </c>
    </row>
    <row r="98" spans="2:10" x14ac:dyDescent="0.35">
      <c r="B98" s="32" t="s">
        <v>2543</v>
      </c>
      <c r="C98" s="5" t="s">
        <v>166</v>
      </c>
      <c r="D98" s="5" t="s">
        <v>167</v>
      </c>
      <c r="E98" s="3">
        <v>0</v>
      </c>
      <c r="F98" s="3">
        <v>-700000</v>
      </c>
      <c r="G98" s="54">
        <f t="shared" si="12"/>
        <v>-1200000</v>
      </c>
      <c r="H98" s="62"/>
      <c r="I98" s="3">
        <f t="shared" si="14"/>
        <v>0</v>
      </c>
      <c r="J98" s="18">
        <f t="shared" si="15"/>
        <v>0</v>
      </c>
    </row>
    <row r="99" spans="2:10" x14ac:dyDescent="0.35">
      <c r="B99" s="32" t="s">
        <v>2543</v>
      </c>
      <c r="C99" s="5" t="s">
        <v>168</v>
      </c>
      <c r="D99" s="5" t="s">
        <v>169</v>
      </c>
      <c r="E99" s="3">
        <v>0</v>
      </c>
      <c r="F99" s="3">
        <v>-546500</v>
      </c>
      <c r="G99" s="54">
        <f t="shared" si="12"/>
        <v>-936857.14285714272</v>
      </c>
      <c r="H99" s="62"/>
      <c r="I99" s="3">
        <f t="shared" si="14"/>
        <v>0</v>
      </c>
      <c r="J99" s="18">
        <f t="shared" si="15"/>
        <v>0</v>
      </c>
    </row>
    <row r="100" spans="2:10" x14ac:dyDescent="0.35">
      <c r="B100" s="32" t="s">
        <v>2543</v>
      </c>
      <c r="C100" s="5" t="s">
        <v>170</v>
      </c>
      <c r="D100" s="5" t="s">
        <v>171</v>
      </c>
      <c r="E100" s="3">
        <v>0</v>
      </c>
      <c r="F100" s="3">
        <v>0</v>
      </c>
      <c r="G100" s="54">
        <f t="shared" si="12"/>
        <v>0</v>
      </c>
      <c r="H100" s="62">
        <f t="shared" si="13"/>
        <v>0</v>
      </c>
      <c r="I100" s="3">
        <f t="shared" si="14"/>
        <v>0</v>
      </c>
      <c r="J100" s="18">
        <f t="shared" si="15"/>
        <v>0</v>
      </c>
    </row>
    <row r="101" spans="2:10" x14ac:dyDescent="0.35">
      <c r="B101" s="32" t="s">
        <v>2543</v>
      </c>
      <c r="C101" s="5" t="s">
        <v>172</v>
      </c>
      <c r="D101" s="5" t="s">
        <v>173</v>
      </c>
      <c r="E101" s="3">
        <v>0</v>
      </c>
      <c r="F101" s="3">
        <v>0</v>
      </c>
      <c r="G101" s="54">
        <f t="shared" si="12"/>
        <v>0</v>
      </c>
      <c r="H101" s="62">
        <f t="shared" si="13"/>
        <v>0</v>
      </c>
      <c r="I101" s="3">
        <f t="shared" si="14"/>
        <v>0</v>
      </c>
      <c r="J101" s="18">
        <f t="shared" si="15"/>
        <v>0</v>
      </c>
    </row>
    <row r="102" spans="2:10" x14ac:dyDescent="0.35">
      <c r="B102" s="32" t="s">
        <v>2543</v>
      </c>
      <c r="C102" s="5" t="s">
        <v>174</v>
      </c>
      <c r="D102" s="5" t="s">
        <v>175</v>
      </c>
      <c r="E102" s="3">
        <v>0</v>
      </c>
      <c r="F102" s="3">
        <v>0</v>
      </c>
      <c r="G102" s="54">
        <f t="shared" si="12"/>
        <v>0</v>
      </c>
      <c r="H102" s="62">
        <f t="shared" si="13"/>
        <v>0</v>
      </c>
      <c r="I102" s="3">
        <f t="shared" si="14"/>
        <v>0</v>
      </c>
      <c r="J102" s="18">
        <f t="shared" si="15"/>
        <v>0</v>
      </c>
    </row>
    <row r="103" spans="2:10" x14ac:dyDescent="0.35">
      <c r="B103" s="32" t="s">
        <v>2543</v>
      </c>
      <c r="C103" s="5" t="s">
        <v>176</v>
      </c>
      <c r="D103" s="5" t="s">
        <v>177</v>
      </c>
      <c r="E103" s="3">
        <v>-3305</v>
      </c>
      <c r="F103" s="3">
        <f>323.23-2647.05</f>
        <v>-2323.8200000000002</v>
      </c>
      <c r="G103" s="54">
        <f t="shared" si="12"/>
        <v>-3983.6914285714283</v>
      </c>
      <c r="H103" s="62">
        <f t="shared" si="13"/>
        <v>-4222.7129142857139</v>
      </c>
      <c r="I103" s="3">
        <f t="shared" si="14"/>
        <v>-4454.9621245714279</v>
      </c>
      <c r="J103" s="18">
        <f t="shared" si="15"/>
        <v>-4691.0751171737129</v>
      </c>
    </row>
    <row r="104" spans="2:10" x14ac:dyDescent="0.35">
      <c r="B104" s="32" t="s">
        <v>2543</v>
      </c>
      <c r="C104" s="5" t="s">
        <v>178</v>
      </c>
      <c r="D104" s="5" t="s">
        <v>179</v>
      </c>
      <c r="E104" s="3">
        <v>-10411</v>
      </c>
      <c r="F104" s="3">
        <f>78.8-10405.2</f>
        <v>-10326.400000000001</v>
      </c>
      <c r="G104" s="54">
        <f t="shared" si="12"/>
        <v>-17702.400000000001</v>
      </c>
      <c r="H104" s="62">
        <f t="shared" si="13"/>
        <v>-18764.544000000002</v>
      </c>
      <c r="I104" s="3">
        <f t="shared" si="14"/>
        <v>-19796.593919999999</v>
      </c>
      <c r="J104" s="18">
        <f t="shared" si="15"/>
        <v>-20845.813397759997</v>
      </c>
    </row>
    <row r="105" spans="2:10" x14ac:dyDescent="0.35">
      <c r="B105" s="32" t="s">
        <v>2543</v>
      </c>
      <c r="C105" s="5" t="s">
        <v>180</v>
      </c>
      <c r="D105" s="5" t="s">
        <v>181</v>
      </c>
      <c r="E105" s="3">
        <v>-14000</v>
      </c>
      <c r="F105" s="3">
        <v>-8208</v>
      </c>
      <c r="G105" s="54">
        <f t="shared" si="12"/>
        <v>-14070.857142857145</v>
      </c>
      <c r="H105" s="62">
        <f t="shared" si="13"/>
        <v>-14915.108571428575</v>
      </c>
      <c r="I105" s="3">
        <f t="shared" si="14"/>
        <v>-15735.439542857146</v>
      </c>
      <c r="J105" s="18">
        <f t="shared" si="15"/>
        <v>-16569.417838628575</v>
      </c>
    </row>
    <row r="106" spans="2:10" x14ac:dyDescent="0.35">
      <c r="B106" s="32" t="s">
        <v>2543</v>
      </c>
      <c r="C106" s="5" t="s">
        <v>182</v>
      </c>
      <c r="D106" s="5" t="s">
        <v>183</v>
      </c>
      <c r="E106" s="3">
        <v>-270</v>
      </c>
      <c r="F106" s="3">
        <f>0.9-408.01</f>
        <v>-407.11</v>
      </c>
      <c r="G106" s="54">
        <f t="shared" si="12"/>
        <v>-697.9028571428571</v>
      </c>
      <c r="H106" s="62">
        <f t="shared" si="13"/>
        <v>-739.77702857142856</v>
      </c>
      <c r="I106" s="3">
        <f t="shared" si="14"/>
        <v>-780.46476514285712</v>
      </c>
      <c r="J106" s="18">
        <f t="shared" si="15"/>
        <v>-821.8293976954285</v>
      </c>
    </row>
    <row r="107" spans="2:10" x14ac:dyDescent="0.35">
      <c r="B107" s="32" t="s">
        <v>2543</v>
      </c>
      <c r="C107" s="5" t="s">
        <v>184</v>
      </c>
      <c r="D107" s="5" t="s">
        <v>185</v>
      </c>
      <c r="E107" s="3">
        <v>0</v>
      </c>
      <c r="F107" s="3">
        <v>-1591270.63</v>
      </c>
      <c r="G107" s="54">
        <f t="shared" si="12"/>
        <v>-2727892.5085714282</v>
      </c>
      <c r="H107" s="62">
        <f t="shared" si="13"/>
        <v>-2891566.0590857142</v>
      </c>
      <c r="I107" s="3">
        <f t="shared" si="14"/>
        <v>-3050602.1923354282</v>
      </c>
      <c r="J107" s="18">
        <f t="shared" si="15"/>
        <v>-3212284.1085292059</v>
      </c>
    </row>
    <row r="108" spans="2:10" x14ac:dyDescent="0.35">
      <c r="B108" s="32" t="s">
        <v>2543</v>
      </c>
      <c r="C108" s="5" t="s">
        <v>186</v>
      </c>
      <c r="D108" s="5" t="s">
        <v>30</v>
      </c>
      <c r="E108" s="3">
        <v>0</v>
      </c>
      <c r="F108" s="3">
        <v>0</v>
      </c>
      <c r="G108" s="54">
        <f t="shared" si="12"/>
        <v>0</v>
      </c>
      <c r="H108" s="62">
        <f t="shared" si="13"/>
        <v>0</v>
      </c>
      <c r="I108" s="3">
        <f t="shared" si="14"/>
        <v>0</v>
      </c>
      <c r="J108" s="18">
        <f t="shared" si="15"/>
        <v>0</v>
      </c>
    </row>
    <row r="109" spans="2:10" x14ac:dyDescent="0.35">
      <c r="B109" s="32" t="s">
        <v>2543</v>
      </c>
      <c r="C109" s="5" t="s">
        <v>187</v>
      </c>
      <c r="D109" s="5" t="s">
        <v>188</v>
      </c>
      <c r="E109" s="3">
        <v>0</v>
      </c>
      <c r="F109" s="3">
        <v>0</v>
      </c>
      <c r="G109" s="54">
        <f t="shared" si="12"/>
        <v>0</v>
      </c>
      <c r="H109" s="62">
        <f t="shared" si="13"/>
        <v>0</v>
      </c>
      <c r="I109" s="3">
        <f t="shared" si="14"/>
        <v>0</v>
      </c>
      <c r="J109" s="18">
        <f t="shared" si="15"/>
        <v>0</v>
      </c>
    </row>
    <row r="110" spans="2:10" x14ac:dyDescent="0.35">
      <c r="B110" s="32" t="s">
        <v>2543</v>
      </c>
      <c r="C110" s="5" t="s">
        <v>189</v>
      </c>
      <c r="D110" s="5" t="s">
        <v>190</v>
      </c>
      <c r="E110" s="3">
        <v>0</v>
      </c>
      <c r="F110" s="3">
        <f>18012.42-192130.31</f>
        <v>-174117.89</v>
      </c>
      <c r="G110" s="54">
        <f t="shared" si="12"/>
        <v>-298487.81142857147</v>
      </c>
      <c r="H110" s="62">
        <f t="shared" si="13"/>
        <v>-316397.08011428575</v>
      </c>
      <c r="I110" s="3">
        <f t="shared" si="14"/>
        <v>-333798.91952057142</v>
      </c>
      <c r="J110" s="18">
        <f t="shared" si="15"/>
        <v>-351490.26225516171</v>
      </c>
    </row>
    <row r="111" spans="2:10" x14ac:dyDescent="0.35">
      <c r="B111" s="32" t="s">
        <v>2543</v>
      </c>
      <c r="C111" s="5" t="s">
        <v>191</v>
      </c>
      <c r="D111" s="5" t="s">
        <v>32</v>
      </c>
      <c r="E111" s="3">
        <v>0</v>
      </c>
      <c r="F111" s="3">
        <v>0</v>
      </c>
      <c r="G111" s="54">
        <f t="shared" si="12"/>
        <v>0</v>
      </c>
      <c r="H111" s="62">
        <f t="shared" si="13"/>
        <v>0</v>
      </c>
      <c r="I111" s="3">
        <f>+H111*1.055</f>
        <v>0</v>
      </c>
      <c r="J111" s="18">
        <f t="shared" si="15"/>
        <v>0</v>
      </c>
    </row>
    <row r="112" spans="2:10" s="8" customFormat="1" x14ac:dyDescent="0.35">
      <c r="B112" s="33" t="s">
        <v>2545</v>
      </c>
      <c r="C112" s="5"/>
      <c r="D112" s="5"/>
      <c r="E112" s="10">
        <f>SUM(E77:E111)</f>
        <v>-14018656</v>
      </c>
      <c r="F112" s="10">
        <f t="shared" ref="F112:J112" si="16">SUM(F77:F111)</f>
        <v>-15444042.98</v>
      </c>
      <c r="G112" s="59">
        <f t="shared" si="16"/>
        <v>-26475502.251428571</v>
      </c>
      <c r="H112" s="63">
        <f t="shared" si="16"/>
        <v>-25798963.815085717</v>
      </c>
      <c r="I112" s="10">
        <f t="shared" si="16"/>
        <v>-27217906.824915424</v>
      </c>
      <c r="J112" s="22">
        <f t="shared" si="16"/>
        <v>-28660455.886635948</v>
      </c>
    </row>
    <row r="113" spans="2:10" s="8" customFormat="1" x14ac:dyDescent="0.35">
      <c r="B113" s="23"/>
      <c r="E113" s="9"/>
      <c r="F113" s="9"/>
      <c r="G113" s="9"/>
      <c r="H113" s="64"/>
      <c r="I113" s="9"/>
      <c r="J113" s="21"/>
    </row>
    <row r="114" spans="2:10" x14ac:dyDescent="0.35">
      <c r="B114" s="32" t="s">
        <v>2544</v>
      </c>
      <c r="C114" s="5" t="s">
        <v>196</v>
      </c>
      <c r="D114" s="5" t="s">
        <v>197</v>
      </c>
      <c r="E114" s="3">
        <v>0</v>
      </c>
      <c r="F114" s="3">
        <v>0</v>
      </c>
      <c r="G114" s="54">
        <f t="shared" ref="G114:G145" si="17">+F114/7*12</f>
        <v>0</v>
      </c>
      <c r="H114" s="62">
        <f>+G114*1.058</f>
        <v>0</v>
      </c>
      <c r="I114" s="3">
        <f t="shared" ref="I114:I145" si="18">+H114*1.055</f>
        <v>0</v>
      </c>
      <c r="J114" s="18">
        <f t="shared" ref="J114:J145" si="19">+I114*1.053</f>
        <v>0</v>
      </c>
    </row>
    <row r="115" spans="2:10" x14ac:dyDescent="0.35">
      <c r="B115" s="32" t="s">
        <v>2544</v>
      </c>
      <c r="C115" s="5" t="s">
        <v>211</v>
      </c>
      <c r="D115" s="5" t="s">
        <v>66</v>
      </c>
      <c r="E115" s="3">
        <v>0</v>
      </c>
      <c r="F115" s="3">
        <v>0</v>
      </c>
      <c r="G115" s="54">
        <f t="shared" si="17"/>
        <v>0</v>
      </c>
      <c r="H115" s="62">
        <f>+G115*1.06</f>
        <v>0</v>
      </c>
      <c r="I115" s="3">
        <f t="shared" si="18"/>
        <v>0</v>
      </c>
      <c r="J115" s="18">
        <f t="shared" si="19"/>
        <v>0</v>
      </c>
    </row>
    <row r="116" spans="2:10" x14ac:dyDescent="0.35">
      <c r="B116" s="32" t="s">
        <v>2544</v>
      </c>
      <c r="C116" s="5" t="s">
        <v>220</v>
      </c>
      <c r="D116" s="5" t="s">
        <v>221</v>
      </c>
      <c r="E116" s="3">
        <v>79695</v>
      </c>
      <c r="F116" s="3">
        <f>93950.92-57.51</f>
        <v>93893.41</v>
      </c>
      <c r="G116" s="54">
        <f t="shared" si="17"/>
        <v>160960.13142857142</v>
      </c>
      <c r="H116" s="62">
        <f>+G116*1.06</f>
        <v>170617.73931428572</v>
      </c>
      <c r="I116" s="3">
        <f t="shared" si="18"/>
        <v>180001.71497657141</v>
      </c>
      <c r="J116" s="18">
        <f t="shared" si="19"/>
        <v>189541.8058703297</v>
      </c>
    </row>
    <row r="117" spans="2:10" x14ac:dyDescent="0.35">
      <c r="B117" s="32" t="s">
        <v>2544</v>
      </c>
      <c r="C117" s="5" t="s">
        <v>213</v>
      </c>
      <c r="D117" s="5" t="s">
        <v>214</v>
      </c>
      <c r="E117" s="3">
        <v>0</v>
      </c>
      <c r="F117" s="3">
        <v>0</v>
      </c>
      <c r="G117" s="54">
        <f t="shared" si="17"/>
        <v>0</v>
      </c>
      <c r="H117" s="62">
        <f>+G117*1.06</f>
        <v>0</v>
      </c>
      <c r="I117" s="3">
        <f t="shared" si="18"/>
        <v>0</v>
      </c>
      <c r="J117" s="18">
        <f t="shared" si="19"/>
        <v>0</v>
      </c>
    </row>
    <row r="118" spans="2:10" x14ac:dyDescent="0.35">
      <c r="B118" s="32" t="s">
        <v>2544</v>
      </c>
      <c r="C118" s="5" t="s">
        <v>200</v>
      </c>
      <c r="D118" s="5" t="s">
        <v>46</v>
      </c>
      <c r="E118" s="3">
        <v>53875</v>
      </c>
      <c r="F118" s="3">
        <v>644.1</v>
      </c>
      <c r="G118" s="54">
        <f t="shared" si="17"/>
        <v>1104.1714285714286</v>
      </c>
      <c r="H118" s="62">
        <f>+G118*1.058</f>
        <v>1168.2133714285715</v>
      </c>
      <c r="I118" s="3">
        <f t="shared" si="18"/>
        <v>1232.4651068571429</v>
      </c>
      <c r="J118" s="18">
        <f t="shared" si="19"/>
        <v>1297.7857575205715</v>
      </c>
    </row>
    <row r="119" spans="2:10" x14ac:dyDescent="0.35">
      <c r="B119" s="32" t="s">
        <v>2544</v>
      </c>
      <c r="C119" s="5" t="s">
        <v>193</v>
      </c>
      <c r="D119" s="5" t="s">
        <v>36</v>
      </c>
      <c r="E119" s="3">
        <v>448957</v>
      </c>
      <c r="F119" s="3">
        <v>343213.86</v>
      </c>
      <c r="G119" s="54">
        <f t="shared" si="17"/>
        <v>588366.61714285705</v>
      </c>
      <c r="H119" s="62">
        <f>+G119*1.058</f>
        <v>622491.88093714276</v>
      </c>
      <c r="I119" s="3">
        <f t="shared" si="18"/>
        <v>656728.93438868562</v>
      </c>
      <c r="J119" s="18">
        <f t="shared" si="19"/>
        <v>691535.56791128591</v>
      </c>
    </row>
    <row r="120" spans="2:10" x14ac:dyDescent="0.35">
      <c r="B120" s="32" t="s">
        <v>2544</v>
      </c>
      <c r="C120" s="5" t="s">
        <v>229</v>
      </c>
      <c r="D120" s="5" t="s">
        <v>230</v>
      </c>
      <c r="E120" s="3">
        <v>0</v>
      </c>
      <c r="F120" s="3">
        <v>0</v>
      </c>
      <c r="G120" s="54">
        <f t="shared" si="17"/>
        <v>0</v>
      </c>
      <c r="H120" s="62">
        <f t="shared" ref="H120:H138" si="20">+G120*1.06</f>
        <v>0</v>
      </c>
      <c r="I120" s="3">
        <f t="shared" si="18"/>
        <v>0</v>
      </c>
      <c r="J120" s="18">
        <f t="shared" si="19"/>
        <v>0</v>
      </c>
    </row>
    <row r="121" spans="2:10" x14ac:dyDescent="0.35">
      <c r="B121" s="32" t="s">
        <v>2544</v>
      </c>
      <c r="C121" s="5" t="s">
        <v>231</v>
      </c>
      <c r="D121" s="5" t="s">
        <v>232</v>
      </c>
      <c r="E121" s="3">
        <v>65505</v>
      </c>
      <c r="F121" s="3">
        <v>78061.97</v>
      </c>
      <c r="G121" s="54">
        <f t="shared" si="17"/>
        <v>133820.52000000002</v>
      </c>
      <c r="H121" s="62">
        <f t="shared" si="20"/>
        <v>141849.75120000003</v>
      </c>
      <c r="I121" s="3">
        <f t="shared" si="18"/>
        <v>149651.48751600002</v>
      </c>
      <c r="J121" s="18">
        <f t="shared" si="19"/>
        <v>157583.01635434802</v>
      </c>
    </row>
    <row r="122" spans="2:10" x14ac:dyDescent="0.35">
      <c r="B122" s="32" t="s">
        <v>2544</v>
      </c>
      <c r="C122" s="5" t="s">
        <v>235</v>
      </c>
      <c r="D122" s="5" t="s">
        <v>236</v>
      </c>
      <c r="E122" s="3">
        <v>170000</v>
      </c>
      <c r="F122" s="3">
        <v>143062.57</v>
      </c>
      <c r="G122" s="54">
        <f t="shared" si="17"/>
        <v>245250.12000000002</v>
      </c>
      <c r="H122" s="62">
        <f t="shared" si="20"/>
        <v>259965.12720000005</v>
      </c>
      <c r="I122" s="3">
        <f t="shared" si="18"/>
        <v>274263.20919600001</v>
      </c>
      <c r="J122" s="18">
        <f t="shared" si="19"/>
        <v>288799.159283388</v>
      </c>
    </row>
    <row r="123" spans="2:10" x14ac:dyDescent="0.35">
      <c r="B123" s="32" t="s">
        <v>2544</v>
      </c>
      <c r="C123" s="5" t="s">
        <v>275</v>
      </c>
      <c r="D123" s="5" t="s">
        <v>124</v>
      </c>
      <c r="E123" s="3">
        <v>0</v>
      </c>
      <c r="F123" s="3">
        <v>0</v>
      </c>
      <c r="G123" s="54">
        <f t="shared" si="17"/>
        <v>0</v>
      </c>
      <c r="H123" s="62">
        <f t="shared" si="20"/>
        <v>0</v>
      </c>
      <c r="I123" s="3">
        <f t="shared" si="18"/>
        <v>0</v>
      </c>
      <c r="J123" s="18">
        <f t="shared" si="19"/>
        <v>0</v>
      </c>
    </row>
    <row r="124" spans="2:10" x14ac:dyDescent="0.35">
      <c r="B124" s="32" t="s">
        <v>2544</v>
      </c>
      <c r="C124" s="5" t="s">
        <v>224</v>
      </c>
      <c r="D124" s="5" t="s">
        <v>225</v>
      </c>
      <c r="E124" s="3">
        <v>0</v>
      </c>
      <c r="F124" s="3">
        <v>808</v>
      </c>
      <c r="G124" s="54">
        <f t="shared" si="17"/>
        <v>1385.1428571428571</v>
      </c>
      <c r="H124" s="62">
        <f t="shared" si="20"/>
        <v>1468.2514285714285</v>
      </c>
      <c r="I124" s="3">
        <f t="shared" si="18"/>
        <v>1549.0052571428571</v>
      </c>
      <c r="J124" s="18">
        <f t="shared" si="19"/>
        <v>1631.1025357714284</v>
      </c>
    </row>
    <row r="125" spans="2:10" x14ac:dyDescent="0.35">
      <c r="B125" s="32" t="s">
        <v>2544</v>
      </c>
      <c r="C125" s="5" t="s">
        <v>210</v>
      </c>
      <c r="D125" s="5" t="s">
        <v>64</v>
      </c>
      <c r="E125" s="3">
        <v>535000</v>
      </c>
      <c r="F125" s="3">
        <v>0</v>
      </c>
      <c r="G125" s="54">
        <f t="shared" si="17"/>
        <v>0</v>
      </c>
      <c r="H125" s="62">
        <f t="shared" si="20"/>
        <v>0</v>
      </c>
      <c r="I125" s="3">
        <f t="shared" si="18"/>
        <v>0</v>
      </c>
      <c r="J125" s="18">
        <f t="shared" si="19"/>
        <v>0</v>
      </c>
    </row>
    <row r="126" spans="2:10" x14ac:dyDescent="0.35">
      <c r="B126" s="32" t="s">
        <v>2544</v>
      </c>
      <c r="C126" s="5" t="s">
        <v>261</v>
      </c>
      <c r="D126" s="5" t="s">
        <v>262</v>
      </c>
      <c r="E126" s="3">
        <v>0</v>
      </c>
      <c r="F126" s="3">
        <v>0</v>
      </c>
      <c r="G126" s="54">
        <f t="shared" si="17"/>
        <v>0</v>
      </c>
      <c r="H126" s="62">
        <f t="shared" si="20"/>
        <v>0</v>
      </c>
      <c r="I126" s="3">
        <f t="shared" si="18"/>
        <v>0</v>
      </c>
      <c r="J126" s="18">
        <f t="shared" si="19"/>
        <v>0</v>
      </c>
    </row>
    <row r="127" spans="2:10" x14ac:dyDescent="0.35">
      <c r="B127" s="32" t="s">
        <v>2544</v>
      </c>
      <c r="C127" s="5" t="s">
        <v>263</v>
      </c>
      <c r="D127" s="5" t="s">
        <v>264</v>
      </c>
      <c r="E127" s="3">
        <v>0</v>
      </c>
      <c r="F127" s="3">
        <f>318439.26-3230</f>
        <v>315209.26</v>
      </c>
      <c r="G127" s="54">
        <f t="shared" si="17"/>
        <v>540358.73142857151</v>
      </c>
      <c r="H127" s="62">
        <f t="shared" si="20"/>
        <v>572780.25531428587</v>
      </c>
      <c r="I127" s="3">
        <f t="shared" si="18"/>
        <v>604283.16935657151</v>
      </c>
      <c r="J127" s="18">
        <f t="shared" si="19"/>
        <v>636310.17733246973</v>
      </c>
    </row>
    <row r="128" spans="2:10" x14ac:dyDescent="0.35">
      <c r="B128" s="32" t="s">
        <v>2544</v>
      </c>
      <c r="C128" s="5" t="s">
        <v>253</v>
      </c>
      <c r="D128" s="5" t="s">
        <v>254</v>
      </c>
      <c r="E128" s="3">
        <v>1800000</v>
      </c>
      <c r="F128" s="3">
        <f>65906.55-193201.93</f>
        <v>-127295.37999999999</v>
      </c>
      <c r="G128" s="54">
        <f t="shared" si="17"/>
        <v>-218220.65142857138</v>
      </c>
      <c r="H128" s="62">
        <f t="shared" si="20"/>
        <v>-231313.89051428568</v>
      </c>
      <c r="I128" s="3">
        <f t="shared" si="18"/>
        <v>-244036.15449257137</v>
      </c>
      <c r="J128" s="18">
        <f t="shared" si="19"/>
        <v>-256970.07068067763</v>
      </c>
    </row>
    <row r="129" spans="2:10" x14ac:dyDescent="0.35">
      <c r="B129" s="32" t="s">
        <v>2544</v>
      </c>
      <c r="C129" s="5" t="s">
        <v>271</v>
      </c>
      <c r="D129" s="5" t="s">
        <v>272</v>
      </c>
      <c r="E129" s="3">
        <v>0</v>
      </c>
      <c r="F129" s="3">
        <v>0</v>
      </c>
      <c r="G129" s="54">
        <f t="shared" si="17"/>
        <v>0</v>
      </c>
      <c r="H129" s="62">
        <f t="shared" si="20"/>
        <v>0</v>
      </c>
      <c r="I129" s="3">
        <f t="shared" si="18"/>
        <v>0</v>
      </c>
      <c r="J129" s="18">
        <f t="shared" si="19"/>
        <v>0</v>
      </c>
    </row>
    <row r="130" spans="2:10" x14ac:dyDescent="0.35">
      <c r="B130" s="32" t="s">
        <v>2544</v>
      </c>
      <c r="C130" s="5" t="s">
        <v>233</v>
      </c>
      <c r="D130" s="5" t="s">
        <v>234</v>
      </c>
      <c r="E130" s="3">
        <v>0</v>
      </c>
      <c r="F130" s="3">
        <v>0</v>
      </c>
      <c r="G130" s="54">
        <f t="shared" si="17"/>
        <v>0</v>
      </c>
      <c r="H130" s="62">
        <f t="shared" si="20"/>
        <v>0</v>
      </c>
      <c r="I130" s="3">
        <f t="shared" si="18"/>
        <v>0</v>
      </c>
      <c r="J130" s="18">
        <f t="shared" si="19"/>
        <v>0</v>
      </c>
    </row>
    <row r="131" spans="2:10" x14ac:dyDescent="0.35">
      <c r="B131" s="32" t="s">
        <v>2544</v>
      </c>
      <c r="C131" s="5" t="s">
        <v>212</v>
      </c>
      <c r="D131" s="5" t="s">
        <v>68</v>
      </c>
      <c r="E131" s="3">
        <v>0</v>
      </c>
      <c r="F131" s="3">
        <v>0</v>
      </c>
      <c r="G131" s="54">
        <f t="shared" si="17"/>
        <v>0</v>
      </c>
      <c r="H131" s="62">
        <f t="shared" si="20"/>
        <v>0</v>
      </c>
      <c r="I131" s="3">
        <f t="shared" si="18"/>
        <v>0</v>
      </c>
      <c r="J131" s="18">
        <f t="shared" si="19"/>
        <v>0</v>
      </c>
    </row>
    <row r="132" spans="2:10" x14ac:dyDescent="0.35">
      <c r="B132" s="32" t="s">
        <v>2544</v>
      </c>
      <c r="C132" s="5" t="s">
        <v>217</v>
      </c>
      <c r="D132" s="5" t="s">
        <v>90</v>
      </c>
      <c r="E132" s="3">
        <v>12100</v>
      </c>
      <c r="F132" s="3">
        <v>17930.16</v>
      </c>
      <c r="G132" s="54">
        <f t="shared" si="17"/>
        <v>30737.417142857143</v>
      </c>
      <c r="H132" s="62">
        <f t="shared" si="20"/>
        <v>32581.662171428572</v>
      </c>
      <c r="I132" s="3">
        <f t="shared" si="18"/>
        <v>34373.653590857139</v>
      </c>
      <c r="J132" s="18">
        <f t="shared" si="19"/>
        <v>36195.457231172564</v>
      </c>
    </row>
    <row r="133" spans="2:10" x14ac:dyDescent="0.35">
      <c r="B133" s="32" t="s">
        <v>2544</v>
      </c>
      <c r="C133" s="5" t="s">
        <v>245</v>
      </c>
      <c r="D133" s="5" t="s">
        <v>246</v>
      </c>
      <c r="E133" s="3">
        <v>100000</v>
      </c>
      <c r="F133" s="3">
        <v>28102.67</v>
      </c>
      <c r="G133" s="54">
        <f t="shared" si="17"/>
        <v>48176.005714285711</v>
      </c>
      <c r="H133" s="62">
        <f t="shared" si="20"/>
        <v>51066.56605714286</v>
      </c>
      <c r="I133" s="3">
        <f t="shared" si="18"/>
        <v>53875.227190285717</v>
      </c>
      <c r="J133" s="18">
        <f t="shared" si="19"/>
        <v>56730.614231370855</v>
      </c>
    </row>
    <row r="134" spans="2:10" x14ac:dyDescent="0.35">
      <c r="B134" s="32" t="s">
        <v>2544</v>
      </c>
      <c r="C134" s="5" t="s">
        <v>239</v>
      </c>
      <c r="D134" s="5" t="s">
        <v>240</v>
      </c>
      <c r="E134" s="3">
        <v>0</v>
      </c>
      <c r="F134" s="3">
        <v>0.5</v>
      </c>
      <c r="G134" s="54">
        <f t="shared" si="17"/>
        <v>0.8571428571428571</v>
      </c>
      <c r="H134" s="62">
        <f t="shared" si="20"/>
        <v>0.90857142857142859</v>
      </c>
      <c r="I134" s="3">
        <f t="shared" si="18"/>
        <v>0.95854285714285714</v>
      </c>
      <c r="J134" s="18">
        <f t="shared" si="19"/>
        <v>1.0093456285714284</v>
      </c>
    </row>
    <row r="135" spans="2:10" x14ac:dyDescent="0.35">
      <c r="B135" s="32" t="s">
        <v>2544</v>
      </c>
      <c r="C135" s="5" t="s">
        <v>237</v>
      </c>
      <c r="D135" s="5" t="s">
        <v>238</v>
      </c>
      <c r="E135" s="3">
        <v>0</v>
      </c>
      <c r="F135" s="3">
        <v>0</v>
      </c>
      <c r="G135" s="54">
        <f t="shared" si="17"/>
        <v>0</v>
      </c>
      <c r="H135" s="62">
        <f t="shared" si="20"/>
        <v>0</v>
      </c>
      <c r="I135" s="3">
        <f t="shared" si="18"/>
        <v>0</v>
      </c>
      <c r="J135" s="18">
        <f t="shared" si="19"/>
        <v>0</v>
      </c>
    </row>
    <row r="136" spans="2:10" x14ac:dyDescent="0.35">
      <c r="B136" s="32" t="s">
        <v>2544</v>
      </c>
      <c r="C136" s="5" t="s">
        <v>274</v>
      </c>
      <c r="D136" s="5" t="s">
        <v>122</v>
      </c>
      <c r="E136" s="3">
        <v>-6261215</v>
      </c>
      <c r="F136" s="3">
        <v>0</v>
      </c>
      <c r="G136" s="54">
        <f t="shared" si="17"/>
        <v>0</v>
      </c>
      <c r="H136" s="62">
        <f t="shared" si="20"/>
        <v>0</v>
      </c>
      <c r="I136" s="3">
        <f t="shared" si="18"/>
        <v>0</v>
      </c>
      <c r="J136" s="18">
        <f t="shared" si="19"/>
        <v>0</v>
      </c>
    </row>
    <row r="137" spans="2:10" x14ac:dyDescent="0.35">
      <c r="B137" s="32" t="s">
        <v>2544</v>
      </c>
      <c r="C137" s="5" t="s">
        <v>269</v>
      </c>
      <c r="D137" s="5" t="s">
        <v>270</v>
      </c>
      <c r="E137" s="3">
        <v>0</v>
      </c>
      <c r="F137" s="3">
        <v>0</v>
      </c>
      <c r="G137" s="54">
        <f t="shared" si="17"/>
        <v>0</v>
      </c>
      <c r="H137" s="62">
        <f t="shared" si="20"/>
        <v>0</v>
      </c>
      <c r="I137" s="3">
        <f t="shared" si="18"/>
        <v>0</v>
      </c>
      <c r="J137" s="18">
        <f t="shared" si="19"/>
        <v>0</v>
      </c>
    </row>
    <row r="138" spans="2:10" x14ac:dyDescent="0.35">
      <c r="B138" s="32" t="s">
        <v>2544</v>
      </c>
      <c r="C138" s="5" t="s">
        <v>208</v>
      </c>
      <c r="D138" s="5" t="s">
        <v>209</v>
      </c>
      <c r="E138" s="3">
        <v>0</v>
      </c>
      <c r="F138" s="3">
        <v>0</v>
      </c>
      <c r="G138" s="54">
        <f t="shared" si="17"/>
        <v>0</v>
      </c>
      <c r="H138" s="62">
        <f t="shared" si="20"/>
        <v>0</v>
      </c>
      <c r="I138" s="3">
        <f t="shared" si="18"/>
        <v>0</v>
      </c>
      <c r="J138" s="18">
        <f t="shared" si="19"/>
        <v>0</v>
      </c>
    </row>
    <row r="139" spans="2:10" x14ac:dyDescent="0.35">
      <c r="B139" s="32" t="s">
        <v>2544</v>
      </c>
      <c r="C139" s="5" t="s">
        <v>203</v>
      </c>
      <c r="D139" s="5" t="s">
        <v>52</v>
      </c>
      <c r="E139" s="3">
        <v>0</v>
      </c>
      <c r="F139" s="3">
        <v>84020.05</v>
      </c>
      <c r="G139" s="54">
        <f t="shared" si="17"/>
        <v>144034.37142857144</v>
      </c>
      <c r="H139" s="62">
        <f>+G139*1.058</f>
        <v>152388.36497142859</v>
      </c>
      <c r="I139" s="3">
        <f t="shared" si="18"/>
        <v>160769.72504485716</v>
      </c>
      <c r="J139" s="18">
        <f t="shared" si="19"/>
        <v>169290.52047223458</v>
      </c>
    </row>
    <row r="140" spans="2:10" x14ac:dyDescent="0.35">
      <c r="B140" s="32" t="s">
        <v>2544</v>
      </c>
      <c r="C140" s="5" t="s">
        <v>222</v>
      </c>
      <c r="D140" s="5" t="s">
        <v>223</v>
      </c>
      <c r="E140" s="3">
        <v>1431</v>
      </c>
      <c r="F140" s="3">
        <v>4560</v>
      </c>
      <c r="G140" s="54">
        <f t="shared" si="17"/>
        <v>7817.1428571428569</v>
      </c>
      <c r="H140" s="62">
        <f>+G140*1.06</f>
        <v>8286.1714285714279</v>
      </c>
      <c r="I140" s="3">
        <f t="shared" si="18"/>
        <v>8741.9108571428551</v>
      </c>
      <c r="J140" s="18">
        <f t="shared" si="19"/>
        <v>9205.2321325714256</v>
      </c>
    </row>
    <row r="141" spans="2:10" x14ac:dyDescent="0.35">
      <c r="B141" s="32" t="s">
        <v>2544</v>
      </c>
      <c r="C141" s="5" t="s">
        <v>215</v>
      </c>
      <c r="D141" s="5" t="s">
        <v>216</v>
      </c>
      <c r="E141" s="3">
        <v>0</v>
      </c>
      <c r="F141" s="3">
        <v>0</v>
      </c>
      <c r="G141" s="54">
        <f t="shared" si="17"/>
        <v>0</v>
      </c>
      <c r="H141" s="62">
        <f>+G141*1.06</f>
        <v>0</v>
      </c>
      <c r="I141" s="3">
        <f t="shared" si="18"/>
        <v>0</v>
      </c>
      <c r="J141" s="18">
        <f t="shared" si="19"/>
        <v>0</v>
      </c>
    </row>
    <row r="142" spans="2:10" x14ac:dyDescent="0.35">
      <c r="B142" s="32" t="s">
        <v>2544</v>
      </c>
      <c r="C142" s="5" t="s">
        <v>255</v>
      </c>
      <c r="D142" s="5" t="s">
        <v>256</v>
      </c>
      <c r="E142" s="3">
        <v>0</v>
      </c>
      <c r="F142" s="3">
        <v>0</v>
      </c>
      <c r="G142" s="54">
        <f t="shared" si="17"/>
        <v>0</v>
      </c>
      <c r="H142" s="62">
        <f>+G142*1.06</f>
        <v>0</v>
      </c>
      <c r="I142" s="3">
        <f t="shared" si="18"/>
        <v>0</v>
      </c>
      <c r="J142" s="18">
        <f t="shared" si="19"/>
        <v>0</v>
      </c>
    </row>
    <row r="143" spans="2:10" x14ac:dyDescent="0.35">
      <c r="B143" s="32" t="s">
        <v>2544</v>
      </c>
      <c r="C143" s="5" t="s">
        <v>206</v>
      </c>
      <c r="D143" s="5" t="s">
        <v>207</v>
      </c>
      <c r="E143" s="3">
        <v>0</v>
      </c>
      <c r="F143" s="3">
        <v>0</v>
      </c>
      <c r="G143" s="54">
        <f t="shared" si="17"/>
        <v>0</v>
      </c>
      <c r="H143" s="62">
        <f>+G143*1.058</f>
        <v>0</v>
      </c>
      <c r="I143" s="3">
        <f t="shared" si="18"/>
        <v>0</v>
      </c>
      <c r="J143" s="18">
        <f t="shared" si="19"/>
        <v>0</v>
      </c>
    </row>
    <row r="144" spans="2:10" x14ac:dyDescent="0.35">
      <c r="B144" s="32" t="s">
        <v>2544</v>
      </c>
      <c r="C144" s="5" t="s">
        <v>273</v>
      </c>
      <c r="D144" s="5" t="s">
        <v>120</v>
      </c>
      <c r="E144" s="3">
        <v>0</v>
      </c>
      <c r="F144" s="3">
        <v>0</v>
      </c>
      <c r="G144" s="54">
        <f t="shared" si="17"/>
        <v>0</v>
      </c>
      <c r="H144" s="62">
        <f>+G144*1.06</f>
        <v>0</v>
      </c>
      <c r="I144" s="3">
        <f t="shared" si="18"/>
        <v>0</v>
      </c>
      <c r="J144" s="18">
        <f t="shared" si="19"/>
        <v>0</v>
      </c>
    </row>
    <row r="145" spans="2:10" x14ac:dyDescent="0.35">
      <c r="B145" s="32" t="s">
        <v>2544</v>
      </c>
      <c r="C145" s="5" t="s">
        <v>252</v>
      </c>
      <c r="D145" s="5" t="s">
        <v>116</v>
      </c>
      <c r="E145" s="3">
        <v>0</v>
      </c>
      <c r="F145" s="3">
        <v>0</v>
      </c>
      <c r="G145" s="54">
        <f t="shared" si="17"/>
        <v>0</v>
      </c>
      <c r="H145" s="62">
        <f>+G145*1.06</f>
        <v>0</v>
      </c>
      <c r="I145" s="3">
        <f t="shared" si="18"/>
        <v>0</v>
      </c>
      <c r="J145" s="18">
        <f t="shared" si="19"/>
        <v>0</v>
      </c>
    </row>
    <row r="146" spans="2:10" x14ac:dyDescent="0.35">
      <c r="B146" s="32" t="s">
        <v>2544</v>
      </c>
      <c r="C146" s="5" t="s">
        <v>249</v>
      </c>
      <c r="D146" s="5" t="s">
        <v>250</v>
      </c>
      <c r="E146" s="3">
        <v>125000</v>
      </c>
      <c r="F146" s="3">
        <v>116378.56</v>
      </c>
      <c r="G146" s="54">
        <f t="shared" ref="G146:G162" si="21">+F146/7*12</f>
        <v>199506.10285714286</v>
      </c>
      <c r="H146" s="62">
        <f>+G146*1.06</f>
        <v>211476.46902857145</v>
      </c>
      <c r="I146" s="3">
        <f t="shared" ref="I146:I162" si="22">+H146*1.055</f>
        <v>223107.67482514287</v>
      </c>
      <c r="J146" s="18">
        <f t="shared" ref="J146:J162" si="23">+I146*1.053</f>
        <v>234932.38159087542</v>
      </c>
    </row>
    <row r="147" spans="2:10" x14ac:dyDescent="0.35">
      <c r="B147" s="32" t="s">
        <v>2544</v>
      </c>
      <c r="C147" s="5" t="s">
        <v>247</v>
      </c>
      <c r="D147" s="5" t="s">
        <v>248</v>
      </c>
      <c r="E147" s="3">
        <v>100000</v>
      </c>
      <c r="F147" s="3">
        <v>50332.41</v>
      </c>
      <c r="G147" s="54">
        <f t="shared" si="21"/>
        <v>86284.131428571432</v>
      </c>
      <c r="H147" s="62">
        <f>+G147*1.06</f>
        <v>91461.17931428572</v>
      </c>
      <c r="I147" s="3">
        <f t="shared" si="22"/>
        <v>96491.544176571435</v>
      </c>
      <c r="J147" s="18">
        <f t="shared" si="23"/>
        <v>101605.59601792971</v>
      </c>
    </row>
    <row r="148" spans="2:10" x14ac:dyDescent="0.35">
      <c r="B148" s="32" t="s">
        <v>2544</v>
      </c>
      <c r="C148" s="5" t="s">
        <v>251</v>
      </c>
      <c r="D148" s="5" t="s">
        <v>114</v>
      </c>
      <c r="E148" s="3">
        <v>0</v>
      </c>
      <c r="F148" s="3">
        <v>0</v>
      </c>
      <c r="G148" s="54">
        <f t="shared" si="21"/>
        <v>0</v>
      </c>
      <c r="H148" s="62">
        <f>+G148*1.06</f>
        <v>0</v>
      </c>
      <c r="I148" s="3">
        <f t="shared" si="22"/>
        <v>0</v>
      </c>
      <c r="J148" s="18">
        <f t="shared" si="23"/>
        <v>0</v>
      </c>
    </row>
    <row r="149" spans="2:10" x14ac:dyDescent="0.35">
      <c r="B149" s="32" t="s">
        <v>2544</v>
      </c>
      <c r="C149" s="5" t="s">
        <v>201</v>
      </c>
      <c r="D149" s="5" t="s">
        <v>48</v>
      </c>
      <c r="E149" s="3">
        <v>0</v>
      </c>
      <c r="F149" s="3">
        <v>0</v>
      </c>
      <c r="G149" s="54">
        <f t="shared" si="21"/>
        <v>0</v>
      </c>
      <c r="H149" s="62">
        <f>+G149*1.058</f>
        <v>0</v>
      </c>
      <c r="I149" s="3">
        <f t="shared" si="22"/>
        <v>0</v>
      </c>
      <c r="J149" s="18">
        <f t="shared" si="23"/>
        <v>0</v>
      </c>
    </row>
    <row r="150" spans="2:10" x14ac:dyDescent="0.35">
      <c r="B150" s="32" t="s">
        <v>2544</v>
      </c>
      <c r="C150" s="5" t="s">
        <v>241</v>
      </c>
      <c r="D150" s="5" t="s">
        <v>242</v>
      </c>
      <c r="E150" s="3">
        <v>25000</v>
      </c>
      <c r="F150" s="3">
        <v>2076.5300000000002</v>
      </c>
      <c r="G150" s="54">
        <f t="shared" si="21"/>
        <v>3559.7657142857151</v>
      </c>
      <c r="H150" s="62">
        <f>+G150*1.06</f>
        <v>3773.3516571428581</v>
      </c>
      <c r="I150" s="3">
        <f t="shared" si="22"/>
        <v>3980.8859982857152</v>
      </c>
      <c r="J150" s="18">
        <f t="shared" si="23"/>
        <v>4191.8729561948576</v>
      </c>
    </row>
    <row r="151" spans="2:10" x14ac:dyDescent="0.35">
      <c r="B151" s="32" t="s">
        <v>2544</v>
      </c>
      <c r="C151" s="5" t="s">
        <v>226</v>
      </c>
      <c r="D151" s="5" t="s">
        <v>227</v>
      </c>
      <c r="E151" s="3">
        <v>0</v>
      </c>
      <c r="F151" s="3">
        <v>0</v>
      </c>
      <c r="G151" s="54">
        <f t="shared" si="21"/>
        <v>0</v>
      </c>
      <c r="H151" s="62">
        <f>+G151*1.06</f>
        <v>0</v>
      </c>
      <c r="I151" s="3">
        <f t="shared" si="22"/>
        <v>0</v>
      </c>
      <c r="J151" s="18">
        <f t="shared" si="23"/>
        <v>0</v>
      </c>
    </row>
    <row r="152" spans="2:10" x14ac:dyDescent="0.35">
      <c r="B152" s="32" t="s">
        <v>2544</v>
      </c>
      <c r="C152" s="5" t="s">
        <v>259</v>
      </c>
      <c r="D152" s="5" t="s">
        <v>260</v>
      </c>
      <c r="E152" s="3">
        <v>10490000</v>
      </c>
      <c r="F152" s="3">
        <f>7279760.27-3145</f>
        <v>7276615.2699999996</v>
      </c>
      <c r="G152" s="54">
        <f t="shared" si="21"/>
        <v>12474197.605714284</v>
      </c>
      <c r="H152" s="62">
        <f>+G152*1.06</f>
        <v>13222649.462057142</v>
      </c>
      <c r="I152" s="3">
        <f t="shared" si="22"/>
        <v>13949895.182470284</v>
      </c>
      <c r="J152" s="18">
        <f t="shared" si="23"/>
        <v>14689239.627141209</v>
      </c>
    </row>
    <row r="153" spans="2:10" x14ac:dyDescent="0.35">
      <c r="B153" s="32" t="s">
        <v>2544</v>
      </c>
      <c r="C153" s="5" t="s">
        <v>257</v>
      </c>
      <c r="D153" s="66" t="s">
        <v>2602</v>
      </c>
      <c r="E153" s="3">
        <v>934000</v>
      </c>
      <c r="F153" s="3">
        <f>1992339.83-1877021.83</f>
        <v>115318</v>
      </c>
      <c r="G153" s="54">
        <f t="shared" si="21"/>
        <v>197688</v>
      </c>
      <c r="H153" s="62">
        <f>+G153*1.06</f>
        <v>209549.28</v>
      </c>
      <c r="I153" s="3">
        <f t="shared" si="22"/>
        <v>221074.49039999998</v>
      </c>
      <c r="J153" s="18">
        <f t="shared" si="23"/>
        <v>232791.43839119998</v>
      </c>
    </row>
    <row r="154" spans="2:10" x14ac:dyDescent="0.35">
      <c r="B154" s="32" t="s">
        <v>2544</v>
      </c>
      <c r="C154" s="5" t="s">
        <v>267</v>
      </c>
      <c r="D154" s="5" t="s">
        <v>268</v>
      </c>
      <c r="E154" s="3">
        <v>0</v>
      </c>
      <c r="F154" s="3">
        <v>0</v>
      </c>
      <c r="G154" s="54">
        <f t="shared" si="21"/>
        <v>0</v>
      </c>
      <c r="H154" s="62">
        <f>+G154*1.06</f>
        <v>0</v>
      </c>
      <c r="I154" s="3">
        <f t="shared" si="22"/>
        <v>0</v>
      </c>
      <c r="J154" s="18">
        <f t="shared" si="23"/>
        <v>0</v>
      </c>
    </row>
    <row r="155" spans="2:10" x14ac:dyDescent="0.35">
      <c r="B155" s="32" t="s">
        <v>2544</v>
      </c>
      <c r="C155" s="5" t="s">
        <v>194</v>
      </c>
      <c r="D155" s="5" t="s">
        <v>38</v>
      </c>
      <c r="E155" s="3">
        <v>0</v>
      </c>
      <c r="F155" s="3">
        <v>548.79999999999995</v>
      </c>
      <c r="G155" s="54">
        <f t="shared" si="21"/>
        <v>940.8</v>
      </c>
      <c r="H155" s="62">
        <f>+G155*1.058</f>
        <v>995.3664</v>
      </c>
      <c r="I155" s="3">
        <f t="shared" si="22"/>
        <v>1050.1115519999998</v>
      </c>
      <c r="J155" s="18">
        <f t="shared" si="23"/>
        <v>1105.7674642559998</v>
      </c>
    </row>
    <row r="156" spans="2:10" x14ac:dyDescent="0.35">
      <c r="B156" s="32" t="s">
        <v>2544</v>
      </c>
      <c r="C156" s="5" t="s">
        <v>198</v>
      </c>
      <c r="D156" s="5" t="s">
        <v>42</v>
      </c>
      <c r="E156" s="3">
        <v>0</v>
      </c>
      <c r="F156" s="3">
        <v>0</v>
      </c>
      <c r="G156" s="54">
        <f t="shared" si="21"/>
        <v>0</v>
      </c>
      <c r="H156" s="62">
        <f>+G156*1.058</f>
        <v>0</v>
      </c>
      <c r="I156" s="3">
        <f t="shared" si="22"/>
        <v>0</v>
      </c>
      <c r="J156" s="18">
        <f t="shared" si="23"/>
        <v>0</v>
      </c>
    </row>
    <row r="157" spans="2:10" x14ac:dyDescent="0.35">
      <c r="B157" s="32" t="s">
        <v>2544</v>
      </c>
      <c r="C157" s="5" t="s">
        <v>204</v>
      </c>
      <c r="D157" s="5" t="s">
        <v>205</v>
      </c>
      <c r="E157" s="3">
        <v>0</v>
      </c>
      <c r="F157" s="3">
        <v>191364.4</v>
      </c>
      <c r="G157" s="54">
        <f t="shared" si="21"/>
        <v>328053.25714285712</v>
      </c>
      <c r="H157" s="62">
        <f>+G157*1.058</f>
        <v>347080.34605714283</v>
      </c>
      <c r="I157" s="3">
        <f t="shared" si="22"/>
        <v>366169.76509028568</v>
      </c>
      <c r="J157" s="18">
        <f t="shared" si="23"/>
        <v>385576.76264007081</v>
      </c>
    </row>
    <row r="158" spans="2:10" x14ac:dyDescent="0.35">
      <c r="B158" s="32" t="s">
        <v>2544</v>
      </c>
      <c r="C158" s="5" t="s">
        <v>243</v>
      </c>
      <c r="D158" s="5" t="s">
        <v>244</v>
      </c>
      <c r="E158" s="3">
        <v>600</v>
      </c>
      <c r="F158" s="3">
        <v>576.03</v>
      </c>
      <c r="G158" s="54">
        <f t="shared" si="21"/>
        <v>987.4799999999999</v>
      </c>
      <c r="H158" s="62">
        <f>+G158*1.06</f>
        <v>1046.7287999999999</v>
      </c>
      <c r="I158" s="3">
        <f t="shared" si="22"/>
        <v>1104.2988839999998</v>
      </c>
      <c r="J158" s="18">
        <f t="shared" si="23"/>
        <v>1162.8267248519996</v>
      </c>
    </row>
    <row r="159" spans="2:10" x14ac:dyDescent="0.35">
      <c r="B159" s="32" t="s">
        <v>2544</v>
      </c>
      <c r="C159" s="5" t="s">
        <v>192</v>
      </c>
      <c r="D159" s="5" t="s">
        <v>34</v>
      </c>
      <c r="E159" s="3">
        <v>5387479</v>
      </c>
      <c r="F159" s="3">
        <f>3030343.12-3058.29</f>
        <v>3027284.83</v>
      </c>
      <c r="G159" s="54">
        <f t="shared" si="21"/>
        <v>5189631.1371428575</v>
      </c>
      <c r="H159" s="62">
        <f>+G159*1.058</f>
        <v>5490629.7430971432</v>
      </c>
      <c r="I159" s="3">
        <f t="shared" si="22"/>
        <v>5792614.3789674854</v>
      </c>
      <c r="J159" s="18">
        <f t="shared" si="23"/>
        <v>6099622.9410527619</v>
      </c>
    </row>
    <row r="160" spans="2:10" x14ac:dyDescent="0.35">
      <c r="B160" s="32" t="s">
        <v>2544</v>
      </c>
      <c r="C160" s="5" t="s">
        <v>265</v>
      </c>
      <c r="D160" s="5" t="s">
        <v>2658</v>
      </c>
      <c r="E160" s="3">
        <v>0</v>
      </c>
      <c r="F160" s="3"/>
      <c r="G160" s="54">
        <f t="shared" si="21"/>
        <v>0</v>
      </c>
      <c r="H160" s="75">
        <v>45000</v>
      </c>
      <c r="I160" s="3">
        <f t="shared" si="22"/>
        <v>47475</v>
      </c>
      <c r="J160" s="18">
        <f t="shared" si="23"/>
        <v>49991.174999999996</v>
      </c>
    </row>
    <row r="161" spans="1:10" x14ac:dyDescent="0.35">
      <c r="B161" s="32" t="s">
        <v>2663</v>
      </c>
      <c r="C161" s="5" t="s">
        <v>202</v>
      </c>
      <c r="D161" s="5" t="s">
        <v>50</v>
      </c>
      <c r="E161" s="3">
        <v>53875</v>
      </c>
      <c r="F161" s="3">
        <v>30659.62</v>
      </c>
      <c r="G161" s="54">
        <f t="shared" si="21"/>
        <v>52559.348571428578</v>
      </c>
      <c r="H161" s="62">
        <f>+G161*1.058</f>
        <v>55607.790788571438</v>
      </c>
      <c r="I161" s="3">
        <f t="shared" si="22"/>
        <v>58666.21928194286</v>
      </c>
      <c r="J161" s="18">
        <f t="shared" si="23"/>
        <v>61775.528903885825</v>
      </c>
    </row>
    <row r="162" spans="1:10" x14ac:dyDescent="0.35">
      <c r="B162" s="32" t="s">
        <v>2544</v>
      </c>
      <c r="C162" s="5" t="s">
        <v>218</v>
      </c>
      <c r="D162" s="5" t="s">
        <v>92</v>
      </c>
      <c r="E162" s="3">
        <v>106189</v>
      </c>
      <c r="F162" s="3">
        <f>128533.9-344.48</f>
        <v>128189.42</v>
      </c>
      <c r="G162" s="54">
        <f t="shared" si="21"/>
        <v>219753.29142857139</v>
      </c>
      <c r="H162" s="62">
        <f>+G162*1.06</f>
        <v>232938.4889142857</v>
      </c>
      <c r="I162" s="3">
        <f t="shared" si="22"/>
        <v>245750.10580457139</v>
      </c>
      <c r="J162" s="18">
        <f t="shared" si="23"/>
        <v>258774.86141221365</v>
      </c>
    </row>
    <row r="163" spans="1:10" x14ac:dyDescent="0.35">
      <c r="B163" s="32" t="s">
        <v>2544</v>
      </c>
      <c r="C163" s="5"/>
      <c r="D163" s="5" t="s">
        <v>2662</v>
      </c>
      <c r="E163" s="3"/>
      <c r="F163" s="3"/>
      <c r="G163" s="54"/>
      <c r="H163" s="75"/>
      <c r="I163" s="3"/>
      <c r="J163" s="18"/>
    </row>
    <row r="164" spans="1:10" x14ac:dyDescent="0.35">
      <c r="B164" s="32" t="s">
        <v>2544</v>
      </c>
      <c r="C164" s="5" t="s">
        <v>219</v>
      </c>
      <c r="D164" s="5" t="s">
        <v>94</v>
      </c>
      <c r="E164" s="3">
        <v>350000</v>
      </c>
      <c r="F164" s="3">
        <f>212750.99-3598.11</f>
        <v>209152.88</v>
      </c>
      <c r="G164" s="54">
        <f>+F164/7*12</f>
        <v>358547.79428571428</v>
      </c>
      <c r="H164" s="62">
        <f>+G164*1.06</f>
        <v>380060.66194285714</v>
      </c>
      <c r="I164" s="3">
        <f>+H164*1.055</f>
        <v>400963.99834971427</v>
      </c>
      <c r="J164" s="18">
        <f>+I164*1.053</f>
        <v>422215.09026224911</v>
      </c>
    </row>
    <row r="165" spans="1:10" x14ac:dyDescent="0.35">
      <c r="B165" s="32" t="s">
        <v>2544</v>
      </c>
      <c r="C165" s="5" t="s">
        <v>195</v>
      </c>
      <c r="D165" s="5" t="s">
        <v>40</v>
      </c>
      <c r="E165" s="3">
        <v>0</v>
      </c>
      <c r="F165" s="3">
        <v>0</v>
      </c>
      <c r="G165" s="54">
        <f>+F165/7*12</f>
        <v>0</v>
      </c>
      <c r="H165" s="62">
        <f>+G165*1.058</f>
        <v>0</v>
      </c>
      <c r="I165" s="3">
        <f>+H165*1.055</f>
        <v>0</v>
      </c>
      <c r="J165" s="18">
        <f>+I165*1.053</f>
        <v>0</v>
      </c>
    </row>
    <row r="166" spans="1:10" x14ac:dyDescent="0.35">
      <c r="B166" s="32" t="s">
        <v>2544</v>
      </c>
      <c r="C166" s="5" t="s">
        <v>228</v>
      </c>
      <c r="D166" s="5" t="s">
        <v>98</v>
      </c>
      <c r="E166" s="3">
        <v>7851</v>
      </c>
      <c r="F166" s="3">
        <f>24706.38-495</f>
        <v>24211.38</v>
      </c>
      <c r="G166" s="54">
        <f>+F166/7*12</f>
        <v>41505.222857142857</v>
      </c>
      <c r="H166" s="62">
        <f>+G166*1.06</f>
        <v>43995.536228571429</v>
      </c>
      <c r="I166" s="3">
        <f>+H166*1.055</f>
        <v>46415.290721142854</v>
      </c>
      <c r="J166" s="18">
        <f>+I166*1.053</f>
        <v>48875.301129363419</v>
      </c>
    </row>
    <row r="167" spans="1:10" x14ac:dyDescent="0.35">
      <c r="B167" s="32" t="s">
        <v>2544</v>
      </c>
      <c r="C167" s="5" t="s">
        <v>199</v>
      </c>
      <c r="D167" s="5" t="s">
        <v>44</v>
      </c>
      <c r="E167" s="3">
        <v>24161</v>
      </c>
      <c r="F167" s="3">
        <v>14753.22</v>
      </c>
      <c r="G167" s="54">
        <f>+F167/7*12</f>
        <v>25291.234285714283</v>
      </c>
      <c r="H167" s="62">
        <f>+G167*1.058</f>
        <v>26758.125874285714</v>
      </c>
      <c r="I167" s="3">
        <f>+H167*1.055</f>
        <v>28229.822797371427</v>
      </c>
      <c r="J167" s="18">
        <f>+I167*1.053</f>
        <v>29726.003405632113</v>
      </c>
    </row>
    <row r="168" spans="1:10" s="8" customFormat="1" x14ac:dyDescent="0.35">
      <c r="B168" s="34" t="s">
        <v>2546</v>
      </c>
      <c r="C168" s="5"/>
      <c r="D168" s="5"/>
      <c r="E168" s="10">
        <f>SUM(E114:E167)</f>
        <v>14609503</v>
      </c>
      <c r="F168" s="10">
        <f t="shared" ref="F168:J168" si="24">SUM(F114:F167)</f>
        <v>12169672.520000001</v>
      </c>
      <c r="G168" s="59">
        <f t="shared" si="24"/>
        <v>20862295.748571429</v>
      </c>
      <c r="H168" s="63">
        <f t="shared" si="24"/>
        <v>22146373.531611428</v>
      </c>
      <c r="I168" s="10">
        <f t="shared" si="24"/>
        <v>23364424.075850058</v>
      </c>
      <c r="J168" s="22">
        <f t="shared" si="24"/>
        <v>24602738.551870108</v>
      </c>
    </row>
    <row r="169" spans="1:10" s="8" customFormat="1" ht="8.25" customHeight="1" x14ac:dyDescent="0.35">
      <c r="B169" s="23"/>
      <c r="E169" s="9"/>
      <c r="F169" s="9"/>
      <c r="G169" s="9"/>
      <c r="H169" s="64"/>
      <c r="I169" s="9"/>
      <c r="J169" s="21"/>
    </row>
    <row r="170" spans="1:10" s="8" customFormat="1" ht="15" thickBot="1" x14ac:dyDescent="0.4">
      <c r="B170" s="35" t="s">
        <v>2548</v>
      </c>
      <c r="C170" s="25"/>
      <c r="D170" s="25"/>
      <c r="E170" s="26">
        <f>+E112+E168</f>
        <v>590847</v>
      </c>
      <c r="F170" s="26">
        <f t="shared" ref="F170:J170" si="25">+F112+F168</f>
        <v>-3274370.459999999</v>
      </c>
      <c r="G170" s="60">
        <f t="shared" si="25"/>
        <v>-5613206.5028571412</v>
      </c>
      <c r="H170" s="65">
        <f t="shared" si="25"/>
        <v>-3652590.2834742889</v>
      </c>
      <c r="I170" s="26">
        <f t="shared" si="25"/>
        <v>-3853482.7490653656</v>
      </c>
      <c r="J170" s="27">
        <f t="shared" si="25"/>
        <v>-4057717.3347658403</v>
      </c>
    </row>
    <row r="171" spans="1:10" s="8" customFormat="1" x14ac:dyDescent="0.35">
      <c r="E171" s="9"/>
      <c r="F171" s="9"/>
      <c r="G171" s="9"/>
      <c r="H171" s="9"/>
      <c r="I171" s="9"/>
      <c r="J171" s="9"/>
    </row>
    <row r="172" spans="1:10" s="8" customFormat="1" x14ac:dyDescent="0.35">
      <c r="E172" s="9"/>
      <c r="F172" s="9"/>
      <c r="G172" s="9"/>
      <c r="H172" s="9"/>
      <c r="I172" s="9"/>
      <c r="J172" s="9"/>
    </row>
    <row r="173" spans="1:10" s="8" customFormat="1" ht="15" thickBot="1" x14ac:dyDescent="0.4">
      <c r="A173" s="28" t="s">
        <v>2587</v>
      </c>
      <c r="B173" s="28" t="s">
        <v>2550</v>
      </c>
      <c r="E173" s="9"/>
      <c r="F173" s="9"/>
      <c r="G173" s="9"/>
      <c r="H173" s="9"/>
      <c r="I173" s="9"/>
      <c r="J173" s="9"/>
    </row>
    <row r="174" spans="1:10" x14ac:dyDescent="0.35">
      <c r="B174" s="31" t="s">
        <v>2543</v>
      </c>
      <c r="C174" s="14" t="s">
        <v>276</v>
      </c>
      <c r="D174" s="14" t="s">
        <v>277</v>
      </c>
      <c r="E174" s="15">
        <v>-8042750</v>
      </c>
      <c r="F174" s="15">
        <f>677654.11-8671917.16</f>
        <v>-7994263.0499999998</v>
      </c>
      <c r="G174" s="58">
        <f t="shared" ref="G174:G206" si="26">+F174/7*12</f>
        <v>-13704450.942857143</v>
      </c>
      <c r="H174" s="61">
        <f>+G174*1.06</f>
        <v>-14526717.999428572</v>
      </c>
      <c r="I174" s="15">
        <f>+H174*1.055</f>
        <v>-15325687.489397142</v>
      </c>
      <c r="J174" s="16">
        <f>+I174*1.053</f>
        <v>-16137948.926335189</v>
      </c>
    </row>
    <row r="175" spans="1:10" x14ac:dyDescent="0.35">
      <c r="B175" s="32" t="s">
        <v>2543</v>
      </c>
      <c r="C175" s="5" t="s">
        <v>278</v>
      </c>
      <c r="D175" s="5" t="s">
        <v>279</v>
      </c>
      <c r="E175" s="3">
        <v>0</v>
      </c>
      <c r="F175" s="3">
        <v>0</v>
      </c>
      <c r="G175" s="54">
        <f t="shared" si="26"/>
        <v>0</v>
      </c>
      <c r="H175" s="62">
        <f t="shared" ref="H175:H184" si="27">+G175*1.06</f>
        <v>0</v>
      </c>
      <c r="I175" s="3">
        <f t="shared" ref="I175:I184" si="28">+H175*1.055</f>
        <v>0</v>
      </c>
      <c r="J175" s="18">
        <f t="shared" ref="J175:J184" si="29">+I175*1.053</f>
        <v>0</v>
      </c>
    </row>
    <row r="176" spans="1:10" x14ac:dyDescent="0.35">
      <c r="B176" s="32" t="s">
        <v>2543</v>
      </c>
      <c r="C176" s="5" t="s">
        <v>280</v>
      </c>
      <c r="D176" s="5" t="s">
        <v>281</v>
      </c>
      <c r="E176" s="3">
        <v>0</v>
      </c>
      <c r="F176" s="3">
        <f>55188.24-11353.52</f>
        <v>43834.720000000001</v>
      </c>
      <c r="G176" s="54">
        <f t="shared" si="26"/>
        <v>75145.234285714279</v>
      </c>
      <c r="H176" s="62">
        <f t="shared" si="27"/>
        <v>79653.94834285714</v>
      </c>
      <c r="I176" s="3">
        <f t="shared" si="28"/>
        <v>84034.915501714277</v>
      </c>
      <c r="J176" s="18">
        <f t="shared" si="29"/>
        <v>88488.766023305128</v>
      </c>
    </row>
    <row r="177" spans="2:10" x14ac:dyDescent="0.35">
      <c r="B177" s="32" t="s">
        <v>2543</v>
      </c>
      <c r="C177" s="5" t="s">
        <v>282</v>
      </c>
      <c r="D177" s="5" t="s">
        <v>283</v>
      </c>
      <c r="E177" s="3">
        <v>2743969</v>
      </c>
      <c r="F177" s="3">
        <f>2772914.86-3073.71</f>
        <v>2769841.15</v>
      </c>
      <c r="G177" s="54">
        <f t="shared" si="26"/>
        <v>4748299.114285714</v>
      </c>
      <c r="H177" s="62">
        <f t="shared" si="27"/>
        <v>5033197.0611428572</v>
      </c>
      <c r="I177" s="3">
        <f t="shared" si="28"/>
        <v>5310022.899505714</v>
      </c>
      <c r="J177" s="18">
        <f t="shared" si="29"/>
        <v>5591454.113179516</v>
      </c>
    </row>
    <row r="178" spans="2:10" x14ac:dyDescent="0.35">
      <c r="B178" s="32" t="s">
        <v>2543</v>
      </c>
      <c r="C178" s="5" t="s">
        <v>284</v>
      </c>
      <c r="D178" s="5" t="s">
        <v>285</v>
      </c>
      <c r="E178" s="3">
        <v>416994</v>
      </c>
      <c r="F178" s="3">
        <v>423252.16</v>
      </c>
      <c r="G178" s="54">
        <f t="shared" si="26"/>
        <v>725575.13142857142</v>
      </c>
      <c r="H178" s="62">
        <f t="shared" si="27"/>
        <v>769109.63931428571</v>
      </c>
      <c r="I178" s="3">
        <f t="shared" si="28"/>
        <v>811410.66947657138</v>
      </c>
      <c r="J178" s="18">
        <f t="shared" si="29"/>
        <v>854415.43495882966</v>
      </c>
    </row>
    <row r="179" spans="2:10" x14ac:dyDescent="0.35">
      <c r="B179" s="32" t="s">
        <v>2543</v>
      </c>
      <c r="C179" s="5" t="s">
        <v>286</v>
      </c>
      <c r="D179" s="5" t="s">
        <v>287</v>
      </c>
      <c r="E179" s="3">
        <v>20000</v>
      </c>
      <c r="F179" s="3">
        <v>21080.92</v>
      </c>
      <c r="G179" s="54">
        <f t="shared" si="26"/>
        <v>36138.720000000001</v>
      </c>
      <c r="H179" s="62">
        <f t="shared" si="27"/>
        <v>38307.0432</v>
      </c>
      <c r="I179" s="3">
        <f t="shared" si="28"/>
        <v>40413.930575999999</v>
      </c>
      <c r="J179" s="18">
        <f t="shared" si="29"/>
        <v>42555.868896527994</v>
      </c>
    </row>
    <row r="180" spans="2:10" x14ac:dyDescent="0.35">
      <c r="B180" s="32" t="s">
        <v>2543</v>
      </c>
      <c r="C180" s="5" t="s">
        <v>288</v>
      </c>
      <c r="D180" s="5" t="s">
        <v>289</v>
      </c>
      <c r="E180" s="3">
        <v>-275000</v>
      </c>
      <c r="F180" s="3">
        <f>1935.2-131500.86</f>
        <v>-129565.65999999999</v>
      </c>
      <c r="G180" s="54">
        <f t="shared" si="26"/>
        <v>-222112.55999999997</v>
      </c>
      <c r="H180" s="62">
        <f t="shared" si="27"/>
        <v>-235439.31359999996</v>
      </c>
      <c r="I180" s="3">
        <f t="shared" si="28"/>
        <v>-248388.47584799994</v>
      </c>
      <c r="J180" s="18">
        <f t="shared" si="29"/>
        <v>-261553.06506794391</v>
      </c>
    </row>
    <row r="181" spans="2:10" x14ac:dyDescent="0.35">
      <c r="B181" s="32" t="s">
        <v>2543</v>
      </c>
      <c r="C181" s="5" t="s">
        <v>290</v>
      </c>
      <c r="D181" s="5" t="s">
        <v>291</v>
      </c>
      <c r="E181" s="3">
        <v>-343</v>
      </c>
      <c r="F181" s="3">
        <v>-228.5</v>
      </c>
      <c r="G181" s="54">
        <f t="shared" si="26"/>
        <v>-391.71428571428578</v>
      </c>
      <c r="H181" s="62">
        <f t="shared" si="27"/>
        <v>-415.21714285714296</v>
      </c>
      <c r="I181" s="3">
        <f t="shared" si="28"/>
        <v>-438.0540857142858</v>
      </c>
      <c r="J181" s="18">
        <f t="shared" si="29"/>
        <v>-461.27095225714294</v>
      </c>
    </row>
    <row r="182" spans="2:10" x14ac:dyDescent="0.35">
      <c r="B182" s="32" t="s">
        <v>2543</v>
      </c>
      <c r="C182" s="5" t="s">
        <v>292</v>
      </c>
      <c r="D182" s="5" t="s">
        <v>293</v>
      </c>
      <c r="E182" s="3">
        <v>-3750</v>
      </c>
      <c r="F182" s="3">
        <v>-1795.5</v>
      </c>
      <c r="G182" s="54">
        <f t="shared" si="26"/>
        <v>-3078</v>
      </c>
      <c r="H182" s="62">
        <f t="shared" si="27"/>
        <v>-3262.6800000000003</v>
      </c>
      <c r="I182" s="3">
        <f t="shared" si="28"/>
        <v>-3442.1274000000003</v>
      </c>
      <c r="J182" s="18">
        <f t="shared" si="29"/>
        <v>-3624.5601522000002</v>
      </c>
    </row>
    <row r="183" spans="2:10" x14ac:dyDescent="0.35">
      <c r="B183" s="32" t="s">
        <v>2543</v>
      </c>
      <c r="C183" s="5" t="s">
        <v>294</v>
      </c>
      <c r="D183" s="5" t="s">
        <v>30</v>
      </c>
      <c r="E183" s="3">
        <v>0</v>
      </c>
      <c r="F183" s="3">
        <v>0</v>
      </c>
      <c r="G183" s="54">
        <f t="shared" si="26"/>
        <v>0</v>
      </c>
      <c r="H183" s="62">
        <f t="shared" si="27"/>
        <v>0</v>
      </c>
      <c r="I183" s="3">
        <f t="shared" si="28"/>
        <v>0</v>
      </c>
      <c r="J183" s="18">
        <f t="shared" si="29"/>
        <v>0</v>
      </c>
    </row>
    <row r="184" spans="2:10" x14ac:dyDescent="0.35">
      <c r="B184" s="32" t="s">
        <v>2543</v>
      </c>
      <c r="C184" s="5" t="s">
        <v>295</v>
      </c>
      <c r="D184" s="5" t="s">
        <v>32</v>
      </c>
      <c r="E184" s="3">
        <v>0</v>
      </c>
      <c r="F184" s="3">
        <v>0</v>
      </c>
      <c r="G184" s="54">
        <f t="shared" si="26"/>
        <v>0</v>
      </c>
      <c r="H184" s="62">
        <f t="shared" si="27"/>
        <v>0</v>
      </c>
      <c r="I184" s="3">
        <f t="shared" si="28"/>
        <v>0</v>
      </c>
      <c r="J184" s="18">
        <f t="shared" si="29"/>
        <v>0</v>
      </c>
    </row>
    <row r="185" spans="2:10" s="8" customFormat="1" x14ac:dyDescent="0.35">
      <c r="B185" s="33" t="s">
        <v>2545</v>
      </c>
      <c r="C185" s="5"/>
      <c r="D185" s="5"/>
      <c r="E185" s="10">
        <f>SUM(E174:E184)</f>
        <v>-5140880</v>
      </c>
      <c r="F185" s="10">
        <f t="shared" ref="F185:J185" si="30">SUM(F174:F184)</f>
        <v>-4867843.76</v>
      </c>
      <c r="G185" s="59">
        <f t="shared" si="30"/>
        <v>-8344875.0171428584</v>
      </c>
      <c r="H185" s="63">
        <f t="shared" si="30"/>
        <v>-8845567.5181714278</v>
      </c>
      <c r="I185" s="10">
        <f t="shared" si="30"/>
        <v>-9332073.7316708583</v>
      </c>
      <c r="J185" s="22">
        <f t="shared" si="30"/>
        <v>-9826673.6394494101</v>
      </c>
    </row>
    <row r="186" spans="2:10" s="8" customFormat="1" x14ac:dyDescent="0.35">
      <c r="B186" s="23"/>
      <c r="E186" s="9"/>
      <c r="F186" s="9"/>
      <c r="G186" s="9"/>
      <c r="H186" s="64"/>
      <c r="I186" s="9"/>
      <c r="J186" s="21"/>
    </row>
    <row r="187" spans="2:10" x14ac:dyDescent="0.35">
      <c r="B187" s="32" t="s">
        <v>2544</v>
      </c>
      <c r="C187" s="5" t="s">
        <v>296</v>
      </c>
      <c r="D187" s="5" t="s">
        <v>52</v>
      </c>
      <c r="E187" s="3">
        <v>0</v>
      </c>
      <c r="F187" s="3">
        <v>0</v>
      </c>
      <c r="G187" s="54">
        <f t="shared" si="26"/>
        <v>0</v>
      </c>
      <c r="H187" s="62">
        <f>+G187*1.058</f>
        <v>0</v>
      </c>
      <c r="I187" s="3">
        <f>+H187*1.055</f>
        <v>0</v>
      </c>
      <c r="J187" s="18">
        <f>+I187*1.053</f>
        <v>0</v>
      </c>
    </row>
    <row r="188" spans="2:10" x14ac:dyDescent="0.35">
      <c r="B188" s="32" t="s">
        <v>2544</v>
      </c>
      <c r="C188" s="5" t="s">
        <v>297</v>
      </c>
      <c r="D188" s="5" t="s">
        <v>298</v>
      </c>
      <c r="E188" s="3">
        <v>1028000</v>
      </c>
      <c r="F188" s="3">
        <v>0</v>
      </c>
      <c r="G188" s="54">
        <f t="shared" si="26"/>
        <v>0</v>
      </c>
      <c r="H188" s="62">
        <f>+G188*1.06</f>
        <v>0</v>
      </c>
      <c r="I188" s="3">
        <f t="shared" ref="I188:I199" si="31">+H188*1.055</f>
        <v>0</v>
      </c>
      <c r="J188" s="18">
        <f t="shared" ref="J188:J199" si="32">+I188*1.053</f>
        <v>0</v>
      </c>
    </row>
    <row r="189" spans="2:10" x14ac:dyDescent="0.35">
      <c r="B189" s="32" t="s">
        <v>2544</v>
      </c>
      <c r="C189" s="5" t="s">
        <v>299</v>
      </c>
      <c r="D189" s="5" t="s">
        <v>64</v>
      </c>
      <c r="E189" s="3">
        <v>0</v>
      </c>
      <c r="F189" s="3">
        <v>0</v>
      </c>
      <c r="G189" s="54">
        <f t="shared" si="26"/>
        <v>0</v>
      </c>
      <c r="H189" s="62">
        <f t="shared" ref="H189:H198" si="33">+G189*1.06</f>
        <v>0</v>
      </c>
      <c r="I189" s="3">
        <f t="shared" si="31"/>
        <v>0</v>
      </c>
      <c r="J189" s="18">
        <f t="shared" si="32"/>
        <v>0</v>
      </c>
    </row>
    <row r="190" spans="2:10" x14ac:dyDescent="0.35">
      <c r="B190" s="32" t="s">
        <v>2544</v>
      </c>
      <c r="C190" s="5" t="s">
        <v>300</v>
      </c>
      <c r="D190" s="5" t="s">
        <v>66</v>
      </c>
      <c r="E190" s="3">
        <v>0</v>
      </c>
      <c r="F190" s="3">
        <v>0</v>
      </c>
      <c r="G190" s="54">
        <f t="shared" si="26"/>
        <v>0</v>
      </c>
      <c r="H190" s="62">
        <f t="shared" si="33"/>
        <v>0</v>
      </c>
      <c r="I190" s="3">
        <f t="shared" si="31"/>
        <v>0</v>
      </c>
      <c r="J190" s="18">
        <f t="shared" si="32"/>
        <v>0</v>
      </c>
    </row>
    <row r="191" spans="2:10" x14ac:dyDescent="0.35">
      <c r="B191" s="32" t="s">
        <v>2544</v>
      </c>
      <c r="C191" s="5" t="s">
        <v>301</v>
      </c>
      <c r="D191" s="5" t="s">
        <v>68</v>
      </c>
      <c r="E191" s="3">
        <v>0</v>
      </c>
      <c r="F191" s="3">
        <v>0</v>
      </c>
      <c r="G191" s="54">
        <f t="shared" si="26"/>
        <v>0</v>
      </c>
      <c r="H191" s="62">
        <f t="shared" si="33"/>
        <v>0</v>
      </c>
      <c r="I191" s="3">
        <f t="shared" si="31"/>
        <v>0</v>
      </c>
      <c r="J191" s="18">
        <f t="shared" si="32"/>
        <v>0</v>
      </c>
    </row>
    <row r="192" spans="2:10" x14ac:dyDescent="0.35">
      <c r="B192" s="32" t="s">
        <v>2544</v>
      </c>
      <c r="C192" s="5" t="s">
        <v>302</v>
      </c>
      <c r="D192" s="5" t="s">
        <v>303</v>
      </c>
      <c r="E192" s="3">
        <v>0</v>
      </c>
      <c r="F192" s="3">
        <v>0</v>
      </c>
      <c r="G192" s="54">
        <f t="shared" si="26"/>
        <v>0</v>
      </c>
      <c r="H192" s="62">
        <f t="shared" si="33"/>
        <v>0</v>
      </c>
      <c r="I192" s="3">
        <f t="shared" si="31"/>
        <v>0</v>
      </c>
      <c r="J192" s="18">
        <f t="shared" si="32"/>
        <v>0</v>
      </c>
    </row>
    <row r="193" spans="1:10" x14ac:dyDescent="0.35">
      <c r="B193" s="32"/>
      <c r="C193" s="5"/>
      <c r="D193" s="5" t="s">
        <v>2645</v>
      </c>
      <c r="E193" s="3"/>
      <c r="F193" s="3"/>
      <c r="G193" s="54"/>
      <c r="H193" s="75"/>
      <c r="I193" s="3"/>
      <c r="J193" s="18"/>
    </row>
    <row r="194" spans="1:10" x14ac:dyDescent="0.35">
      <c r="B194" s="32" t="s">
        <v>2544</v>
      </c>
      <c r="C194" s="5" t="s">
        <v>304</v>
      </c>
      <c r="D194" s="5" t="s">
        <v>305</v>
      </c>
      <c r="E194" s="3">
        <v>50000</v>
      </c>
      <c r="F194" s="3">
        <v>0</v>
      </c>
      <c r="G194" s="54">
        <f t="shared" si="26"/>
        <v>0</v>
      </c>
      <c r="H194" s="62">
        <f t="shared" si="33"/>
        <v>0</v>
      </c>
      <c r="I194" s="3">
        <f t="shared" si="31"/>
        <v>0</v>
      </c>
      <c r="J194" s="18">
        <f t="shared" si="32"/>
        <v>0</v>
      </c>
    </row>
    <row r="195" spans="1:10" x14ac:dyDescent="0.35">
      <c r="B195" s="32" t="s">
        <v>2544</v>
      </c>
      <c r="C195" s="5" t="s">
        <v>306</v>
      </c>
      <c r="D195" s="5" t="s">
        <v>307</v>
      </c>
      <c r="E195" s="3">
        <v>0</v>
      </c>
      <c r="F195" s="3">
        <v>0</v>
      </c>
      <c r="G195" s="54">
        <f t="shared" si="26"/>
        <v>0</v>
      </c>
      <c r="H195" s="62">
        <f t="shared" si="33"/>
        <v>0</v>
      </c>
      <c r="I195" s="3">
        <f t="shared" si="31"/>
        <v>0</v>
      </c>
      <c r="J195" s="18">
        <f t="shared" si="32"/>
        <v>0</v>
      </c>
    </row>
    <row r="196" spans="1:10" x14ac:dyDescent="0.35">
      <c r="B196" s="32" t="s">
        <v>2544</v>
      </c>
      <c r="C196" s="5" t="s">
        <v>308</v>
      </c>
      <c r="D196" s="5" t="s">
        <v>309</v>
      </c>
      <c r="E196" s="3">
        <v>0</v>
      </c>
      <c r="F196" s="3">
        <v>0</v>
      </c>
      <c r="G196" s="54">
        <f t="shared" si="26"/>
        <v>0</v>
      </c>
      <c r="H196" s="62">
        <f t="shared" si="33"/>
        <v>0</v>
      </c>
      <c r="I196" s="3">
        <f t="shared" si="31"/>
        <v>0</v>
      </c>
      <c r="J196" s="18">
        <f t="shared" si="32"/>
        <v>0</v>
      </c>
    </row>
    <row r="197" spans="1:10" x14ac:dyDescent="0.35">
      <c r="B197" s="32" t="s">
        <v>2544</v>
      </c>
      <c r="C197" s="5" t="s">
        <v>310</v>
      </c>
      <c r="D197" s="5" t="s">
        <v>120</v>
      </c>
      <c r="E197" s="3">
        <v>0</v>
      </c>
      <c r="F197" s="3">
        <v>0</v>
      </c>
      <c r="G197" s="54">
        <f t="shared" si="26"/>
        <v>0</v>
      </c>
      <c r="H197" s="62">
        <f t="shared" si="33"/>
        <v>0</v>
      </c>
      <c r="I197" s="3">
        <f t="shared" si="31"/>
        <v>0</v>
      </c>
      <c r="J197" s="18">
        <f t="shared" si="32"/>
        <v>0</v>
      </c>
    </row>
    <row r="198" spans="1:10" x14ac:dyDescent="0.35">
      <c r="B198" s="32" t="s">
        <v>2544</v>
      </c>
      <c r="C198" s="5" t="s">
        <v>311</v>
      </c>
      <c r="D198" s="5" t="s">
        <v>124</v>
      </c>
      <c r="E198" s="3">
        <v>0</v>
      </c>
      <c r="F198" s="3">
        <v>0</v>
      </c>
      <c r="G198" s="54">
        <f t="shared" si="26"/>
        <v>0</v>
      </c>
      <c r="H198" s="62">
        <f t="shared" si="33"/>
        <v>0</v>
      </c>
      <c r="I198" s="3">
        <f t="shared" si="31"/>
        <v>0</v>
      </c>
      <c r="J198" s="18">
        <f t="shared" si="32"/>
        <v>0</v>
      </c>
    </row>
    <row r="199" spans="1:10" s="8" customFormat="1" x14ac:dyDescent="0.35">
      <c r="B199" s="33" t="s">
        <v>2546</v>
      </c>
      <c r="C199" s="5"/>
      <c r="D199" s="5"/>
      <c r="E199" s="10">
        <f>SUM(E187:E198)</f>
        <v>1078000</v>
      </c>
      <c r="F199" s="10">
        <f t="shared" ref="F199:H199" si="34">SUM(F187:F198)</f>
        <v>0</v>
      </c>
      <c r="G199" s="59">
        <f t="shared" si="34"/>
        <v>0</v>
      </c>
      <c r="H199" s="63">
        <f t="shared" si="34"/>
        <v>0</v>
      </c>
      <c r="I199" s="3">
        <f t="shared" si="31"/>
        <v>0</v>
      </c>
      <c r="J199" s="18">
        <f t="shared" si="32"/>
        <v>0</v>
      </c>
    </row>
    <row r="200" spans="1:10" s="8" customFormat="1" ht="9" customHeight="1" x14ac:dyDescent="0.35">
      <c r="B200" s="23"/>
      <c r="E200" s="9"/>
      <c r="F200" s="9"/>
      <c r="G200" s="9"/>
      <c r="H200" s="64"/>
      <c r="I200" s="9"/>
      <c r="J200" s="21"/>
    </row>
    <row r="201" spans="1:10" s="8" customFormat="1" ht="15" thickBot="1" x14ac:dyDescent="0.4">
      <c r="B201" s="35" t="s">
        <v>2548</v>
      </c>
      <c r="C201" s="25"/>
      <c r="D201" s="25"/>
      <c r="E201" s="26">
        <f>+E185+E199</f>
        <v>-4062880</v>
      </c>
      <c r="F201" s="26">
        <f t="shared" ref="F201:J201" si="35">+F185+F199</f>
        <v>-4867843.76</v>
      </c>
      <c r="G201" s="60">
        <f t="shared" si="35"/>
        <v>-8344875.0171428584</v>
      </c>
      <c r="H201" s="65">
        <f t="shared" si="35"/>
        <v>-8845567.5181714278</v>
      </c>
      <c r="I201" s="26">
        <f t="shared" si="35"/>
        <v>-9332073.7316708583</v>
      </c>
      <c r="J201" s="27">
        <f t="shared" si="35"/>
        <v>-9826673.6394494101</v>
      </c>
    </row>
    <row r="202" spans="1:10" s="8" customFormat="1" x14ac:dyDescent="0.35">
      <c r="E202" s="9"/>
      <c r="F202" s="9"/>
      <c r="G202" s="9"/>
      <c r="H202" s="9"/>
      <c r="I202" s="9"/>
      <c r="J202" s="9"/>
    </row>
    <row r="203" spans="1:10" s="8" customFormat="1" x14ac:dyDescent="0.35">
      <c r="E203" s="9"/>
      <c r="F203" s="9"/>
      <c r="G203" s="9"/>
      <c r="H203" s="9"/>
      <c r="I203" s="9"/>
      <c r="J203" s="9"/>
    </row>
    <row r="204" spans="1:10" s="8" customFormat="1" ht="15" thickBot="1" x14ac:dyDescent="0.4">
      <c r="A204" s="28" t="s">
        <v>2551</v>
      </c>
      <c r="B204" s="28" t="s">
        <v>2551</v>
      </c>
      <c r="E204" s="9"/>
      <c r="F204" s="9"/>
      <c r="G204" s="9"/>
      <c r="H204" s="9"/>
      <c r="I204" s="9"/>
      <c r="J204" s="9"/>
    </row>
    <row r="205" spans="1:10" x14ac:dyDescent="0.35">
      <c r="B205" s="31" t="s">
        <v>2543</v>
      </c>
      <c r="C205" s="14" t="s">
        <v>312</v>
      </c>
      <c r="D205" s="14" t="s">
        <v>126</v>
      </c>
      <c r="E205" s="15">
        <v>0</v>
      </c>
      <c r="F205" s="15">
        <v>0</v>
      </c>
      <c r="G205" s="58">
        <f t="shared" si="26"/>
        <v>0</v>
      </c>
      <c r="H205" s="61">
        <f>+G205*1.06</f>
        <v>0</v>
      </c>
      <c r="I205" s="15">
        <f>+H205*1.055</f>
        <v>0</v>
      </c>
      <c r="J205" s="16">
        <f>+I205*1.053</f>
        <v>0</v>
      </c>
    </row>
    <row r="206" spans="1:10" x14ac:dyDescent="0.35">
      <c r="B206" s="32" t="s">
        <v>2543</v>
      </c>
      <c r="C206" s="5" t="s">
        <v>313</v>
      </c>
      <c r="D206" s="5" t="s">
        <v>136</v>
      </c>
      <c r="E206" s="3">
        <v>0</v>
      </c>
      <c r="F206" s="3">
        <v>0</v>
      </c>
      <c r="G206" s="54">
        <f t="shared" si="26"/>
        <v>0</v>
      </c>
      <c r="H206" s="62">
        <f t="shared" ref="H206:H211" si="36">+G206*1.06</f>
        <v>0</v>
      </c>
      <c r="I206" s="3">
        <f t="shared" ref="I206:I211" si="37">+H206*1.055</f>
        <v>0</v>
      </c>
      <c r="J206" s="18">
        <f t="shared" ref="J206:J211" si="38">+I206*1.053</f>
        <v>0</v>
      </c>
    </row>
    <row r="207" spans="1:10" x14ac:dyDescent="0.35">
      <c r="B207" s="32" t="s">
        <v>2543</v>
      </c>
      <c r="C207" s="5" t="s">
        <v>314</v>
      </c>
      <c r="D207" s="5" t="s">
        <v>315</v>
      </c>
      <c r="E207" s="3">
        <v>0</v>
      </c>
      <c r="F207" s="3">
        <v>0</v>
      </c>
      <c r="G207" s="54">
        <f t="shared" ref="G207:G210" si="39">+F207/7*12</f>
        <v>0</v>
      </c>
      <c r="H207" s="62">
        <f t="shared" si="36"/>
        <v>0</v>
      </c>
      <c r="I207" s="3">
        <f t="shared" si="37"/>
        <v>0</v>
      </c>
      <c r="J207" s="18">
        <f t="shared" si="38"/>
        <v>0</v>
      </c>
    </row>
    <row r="208" spans="1:10" x14ac:dyDescent="0.35">
      <c r="B208" s="32" t="s">
        <v>2543</v>
      </c>
      <c r="C208" s="5" t="s">
        <v>316</v>
      </c>
      <c r="D208" s="5" t="s">
        <v>317</v>
      </c>
      <c r="E208" s="3">
        <v>-1000</v>
      </c>
      <c r="F208" s="3">
        <v>0</v>
      </c>
      <c r="G208" s="54">
        <f t="shared" si="39"/>
        <v>0</v>
      </c>
      <c r="H208" s="62">
        <f t="shared" si="36"/>
        <v>0</v>
      </c>
      <c r="I208" s="3">
        <f t="shared" si="37"/>
        <v>0</v>
      </c>
      <c r="J208" s="18">
        <f t="shared" si="38"/>
        <v>0</v>
      </c>
    </row>
    <row r="209" spans="2:10" x14ac:dyDescent="0.35">
      <c r="B209" s="32" t="s">
        <v>2543</v>
      </c>
      <c r="C209" s="5" t="s">
        <v>318</v>
      </c>
      <c r="D209" s="5" t="s">
        <v>30</v>
      </c>
      <c r="E209" s="3">
        <v>0</v>
      </c>
      <c r="F209" s="3">
        <v>0</v>
      </c>
      <c r="G209" s="54">
        <f t="shared" si="39"/>
        <v>0</v>
      </c>
      <c r="H209" s="62">
        <f t="shared" si="36"/>
        <v>0</v>
      </c>
      <c r="I209" s="3">
        <f t="shared" si="37"/>
        <v>0</v>
      </c>
      <c r="J209" s="18">
        <f t="shared" si="38"/>
        <v>0</v>
      </c>
    </row>
    <row r="210" spans="2:10" x14ac:dyDescent="0.35">
      <c r="B210" s="32" t="s">
        <v>2543</v>
      </c>
      <c r="C210" s="5" t="s">
        <v>319</v>
      </c>
      <c r="D210" s="5" t="s">
        <v>32</v>
      </c>
      <c r="E210" s="3">
        <v>0</v>
      </c>
      <c r="F210" s="3">
        <v>0</v>
      </c>
      <c r="G210" s="54">
        <f t="shared" si="39"/>
        <v>0</v>
      </c>
      <c r="H210" s="62">
        <f t="shared" si="36"/>
        <v>0</v>
      </c>
      <c r="I210" s="3">
        <f t="shared" si="37"/>
        <v>0</v>
      </c>
      <c r="J210" s="18">
        <f t="shared" si="38"/>
        <v>0</v>
      </c>
    </row>
    <row r="211" spans="2:10" s="8" customFormat="1" x14ac:dyDescent="0.35">
      <c r="B211" s="33" t="s">
        <v>2545</v>
      </c>
      <c r="C211" s="5"/>
      <c r="D211" s="5"/>
      <c r="E211" s="10">
        <f>SUM(E205:E210)</f>
        <v>-1000</v>
      </c>
      <c r="F211" s="10">
        <f t="shared" ref="F211:G211" si="40">SUM(F205:F210)</f>
        <v>0</v>
      </c>
      <c r="G211" s="59">
        <f t="shared" si="40"/>
        <v>0</v>
      </c>
      <c r="H211" s="62">
        <f t="shared" si="36"/>
        <v>0</v>
      </c>
      <c r="I211" s="3">
        <f t="shared" si="37"/>
        <v>0</v>
      </c>
      <c r="J211" s="18">
        <f t="shared" si="38"/>
        <v>0</v>
      </c>
    </row>
    <row r="212" spans="2:10" s="8" customFormat="1" x14ac:dyDescent="0.35">
      <c r="B212" s="23"/>
      <c r="E212" s="9"/>
      <c r="F212" s="9"/>
      <c r="G212" s="9"/>
      <c r="H212" s="64"/>
      <c r="I212" s="9"/>
      <c r="J212" s="21"/>
    </row>
    <row r="213" spans="2:10" x14ac:dyDescent="0.35">
      <c r="B213" s="32" t="s">
        <v>2544</v>
      </c>
      <c r="C213" s="5" t="s">
        <v>324</v>
      </c>
      <c r="D213" s="5" t="s">
        <v>197</v>
      </c>
      <c r="E213" s="3">
        <v>0</v>
      </c>
      <c r="F213" s="3">
        <v>0</v>
      </c>
      <c r="G213" s="54">
        <f t="shared" ref="G213:G251" si="41">+F213/7*12</f>
        <v>0</v>
      </c>
      <c r="H213" s="62">
        <f>+G213*1.058</f>
        <v>0</v>
      </c>
      <c r="I213" s="3">
        <f t="shared" ref="I213:I251" si="42">+H213*1.055</f>
        <v>0</v>
      </c>
      <c r="J213" s="18">
        <f t="shared" ref="J213:J251" si="43">+I213*1.053</f>
        <v>0</v>
      </c>
    </row>
    <row r="214" spans="2:10" x14ac:dyDescent="0.35">
      <c r="B214" s="32" t="s">
        <v>2544</v>
      </c>
      <c r="C214" s="5" t="s">
        <v>343</v>
      </c>
      <c r="D214" s="5" t="s">
        <v>344</v>
      </c>
      <c r="E214" s="3">
        <v>15000</v>
      </c>
      <c r="F214" s="3">
        <v>7385.13</v>
      </c>
      <c r="G214" s="54">
        <f t="shared" si="41"/>
        <v>12660.222857142857</v>
      </c>
      <c r="H214" s="62">
        <f>+G214*1.06</f>
        <v>13419.836228571428</v>
      </c>
      <c r="I214" s="3">
        <f t="shared" si="42"/>
        <v>14157.927221142856</v>
      </c>
      <c r="J214" s="18">
        <f t="shared" si="43"/>
        <v>14908.297363863427</v>
      </c>
    </row>
    <row r="215" spans="2:10" x14ac:dyDescent="0.35">
      <c r="B215" s="32" t="s">
        <v>2544</v>
      </c>
      <c r="C215" s="5" t="s">
        <v>334</v>
      </c>
      <c r="D215" s="5" t="s">
        <v>66</v>
      </c>
      <c r="E215" s="3">
        <v>0</v>
      </c>
      <c r="F215" s="3">
        <v>0</v>
      </c>
      <c r="G215" s="54">
        <f t="shared" si="41"/>
        <v>0</v>
      </c>
      <c r="H215" s="62">
        <f>+G215*1.06</f>
        <v>0</v>
      </c>
      <c r="I215" s="3">
        <f t="shared" si="42"/>
        <v>0</v>
      </c>
      <c r="J215" s="18">
        <f t="shared" si="43"/>
        <v>0</v>
      </c>
    </row>
    <row r="216" spans="2:10" x14ac:dyDescent="0.35">
      <c r="B216" s="32" t="s">
        <v>2544</v>
      </c>
      <c r="C216" s="5" t="s">
        <v>327</v>
      </c>
      <c r="D216" s="5" t="s">
        <v>46</v>
      </c>
      <c r="E216" s="3">
        <v>39888</v>
      </c>
      <c r="F216" s="3">
        <v>691.56</v>
      </c>
      <c r="G216" s="54">
        <f t="shared" si="41"/>
        <v>1185.5314285714285</v>
      </c>
      <c r="H216" s="62">
        <f>+G216*1.058</f>
        <v>1254.2922514285715</v>
      </c>
      <c r="I216" s="3">
        <f t="shared" si="42"/>
        <v>1323.2783252571428</v>
      </c>
      <c r="J216" s="18">
        <f t="shared" si="43"/>
        <v>1393.4120764957713</v>
      </c>
    </row>
    <row r="217" spans="2:10" x14ac:dyDescent="0.35">
      <c r="B217" s="32" t="s">
        <v>2544</v>
      </c>
      <c r="C217" s="5" t="s">
        <v>321</v>
      </c>
      <c r="D217" s="5" t="s">
        <v>36</v>
      </c>
      <c r="E217" s="3">
        <v>332398</v>
      </c>
      <c r="F217" s="3">
        <v>224947.3</v>
      </c>
      <c r="G217" s="54">
        <f t="shared" si="41"/>
        <v>385623.94285714283</v>
      </c>
      <c r="H217" s="62">
        <f>+G217*1.058</f>
        <v>407990.13154285715</v>
      </c>
      <c r="I217" s="3">
        <f t="shared" si="42"/>
        <v>430429.58877771429</v>
      </c>
      <c r="J217" s="18">
        <f t="shared" si="43"/>
        <v>453242.35698293312</v>
      </c>
    </row>
    <row r="218" spans="2:10" x14ac:dyDescent="0.35">
      <c r="B218" s="32" t="s">
        <v>2544</v>
      </c>
      <c r="C218" s="5" t="s">
        <v>369</v>
      </c>
      <c r="D218" s="5" t="s">
        <v>124</v>
      </c>
      <c r="E218" s="3">
        <v>0</v>
      </c>
      <c r="F218" s="3">
        <v>0</v>
      </c>
      <c r="G218" s="54">
        <f t="shared" si="41"/>
        <v>0</v>
      </c>
      <c r="H218" s="62">
        <f>+G218*1.06</f>
        <v>0</v>
      </c>
      <c r="I218" s="3">
        <f t="shared" si="42"/>
        <v>0</v>
      </c>
      <c r="J218" s="18">
        <f t="shared" si="43"/>
        <v>0</v>
      </c>
    </row>
    <row r="219" spans="2:10" x14ac:dyDescent="0.35">
      <c r="B219" s="32" t="s">
        <v>2544</v>
      </c>
      <c r="C219" s="5" t="s">
        <v>350</v>
      </c>
      <c r="D219" s="5" t="s">
        <v>351</v>
      </c>
      <c r="E219" s="3">
        <v>750</v>
      </c>
      <c r="F219" s="3">
        <v>1432.9</v>
      </c>
      <c r="G219" s="54">
        <f t="shared" si="41"/>
        <v>2456.4</v>
      </c>
      <c r="H219" s="62">
        <f>+G219*1.06</f>
        <v>2603.7840000000001</v>
      </c>
      <c r="I219" s="3">
        <f t="shared" si="42"/>
        <v>2746.9921199999999</v>
      </c>
      <c r="J219" s="18">
        <f t="shared" si="43"/>
        <v>2892.5827023599995</v>
      </c>
    </row>
    <row r="220" spans="2:10" x14ac:dyDescent="0.35">
      <c r="B220" s="32" t="s">
        <v>2544</v>
      </c>
      <c r="C220" s="5" t="s">
        <v>333</v>
      </c>
      <c r="D220" s="5" t="s">
        <v>64</v>
      </c>
      <c r="E220" s="3">
        <v>217800</v>
      </c>
      <c r="F220" s="3">
        <v>0</v>
      </c>
      <c r="G220" s="54">
        <f t="shared" si="41"/>
        <v>0</v>
      </c>
      <c r="H220" s="62">
        <f>+G220*1.06</f>
        <v>0</v>
      </c>
      <c r="I220" s="3">
        <f t="shared" si="42"/>
        <v>0</v>
      </c>
      <c r="J220" s="18">
        <f t="shared" si="43"/>
        <v>0</v>
      </c>
    </row>
    <row r="221" spans="2:10" x14ac:dyDescent="0.35">
      <c r="B221" s="32" t="s">
        <v>2544</v>
      </c>
      <c r="C221" s="5" t="s">
        <v>354</v>
      </c>
      <c r="D221" s="5" t="s">
        <v>355</v>
      </c>
      <c r="E221" s="3">
        <v>5000</v>
      </c>
      <c r="F221" s="3">
        <f>171470.3-500</f>
        <v>170970.3</v>
      </c>
      <c r="G221" s="54">
        <f t="shared" si="41"/>
        <v>293091.94285714283</v>
      </c>
      <c r="H221" s="62">
        <f>+G221*1.06</f>
        <v>310677.4594285714</v>
      </c>
      <c r="I221" s="3">
        <f t="shared" si="42"/>
        <v>327764.71969714278</v>
      </c>
      <c r="J221" s="18">
        <f t="shared" si="43"/>
        <v>345136.24984109134</v>
      </c>
    </row>
    <row r="222" spans="2:10" x14ac:dyDescent="0.35">
      <c r="B222" s="32" t="s">
        <v>2544</v>
      </c>
      <c r="C222" s="5" t="s">
        <v>330</v>
      </c>
      <c r="D222" s="5" t="s">
        <v>331</v>
      </c>
      <c r="E222" s="3">
        <v>3141</v>
      </c>
      <c r="F222" s="3">
        <v>0</v>
      </c>
      <c r="G222" s="54">
        <f t="shared" si="41"/>
        <v>0</v>
      </c>
      <c r="H222" s="62">
        <f>+G222*1.058</f>
        <v>0</v>
      </c>
      <c r="I222" s="3">
        <f t="shared" si="42"/>
        <v>0</v>
      </c>
      <c r="J222" s="18">
        <f t="shared" si="43"/>
        <v>0</v>
      </c>
    </row>
    <row r="223" spans="2:10" x14ac:dyDescent="0.35">
      <c r="B223" s="32" t="s">
        <v>2544</v>
      </c>
      <c r="C223" s="5" t="s">
        <v>335</v>
      </c>
      <c r="D223" s="5" t="s">
        <v>68</v>
      </c>
      <c r="E223" s="3">
        <v>0</v>
      </c>
      <c r="F223" s="3">
        <v>0</v>
      </c>
      <c r="G223" s="54">
        <f t="shared" si="41"/>
        <v>0</v>
      </c>
      <c r="H223" s="62">
        <f t="shared" ref="H223:H228" si="44">+G223*1.06</f>
        <v>0</v>
      </c>
      <c r="I223" s="3">
        <f t="shared" si="42"/>
        <v>0</v>
      </c>
      <c r="J223" s="18">
        <f t="shared" si="43"/>
        <v>0</v>
      </c>
    </row>
    <row r="224" spans="2:10" x14ac:dyDescent="0.35">
      <c r="B224" s="32" t="s">
        <v>2544</v>
      </c>
      <c r="C224" s="5" t="s">
        <v>336</v>
      </c>
      <c r="D224" s="5" t="s">
        <v>90</v>
      </c>
      <c r="E224" s="3">
        <v>6000</v>
      </c>
      <c r="F224" s="3">
        <v>6000</v>
      </c>
      <c r="G224" s="54">
        <f t="shared" si="41"/>
        <v>10285.714285714286</v>
      </c>
      <c r="H224" s="62">
        <f t="shared" si="44"/>
        <v>10902.857142857143</v>
      </c>
      <c r="I224" s="3">
        <f t="shared" si="42"/>
        <v>11502.514285714286</v>
      </c>
      <c r="J224" s="18">
        <f t="shared" si="43"/>
        <v>12112.147542857141</v>
      </c>
    </row>
    <row r="225" spans="2:10" x14ac:dyDescent="0.35">
      <c r="B225" s="32" t="s">
        <v>2544</v>
      </c>
      <c r="C225" s="5" t="s">
        <v>361</v>
      </c>
      <c r="D225" s="5" t="s">
        <v>240</v>
      </c>
      <c r="E225" s="3">
        <v>0</v>
      </c>
      <c r="F225" s="3">
        <v>0</v>
      </c>
      <c r="G225" s="54">
        <f t="shared" si="41"/>
        <v>0</v>
      </c>
      <c r="H225" s="62">
        <f t="shared" si="44"/>
        <v>0</v>
      </c>
      <c r="I225" s="3">
        <f t="shared" si="42"/>
        <v>0</v>
      </c>
      <c r="J225" s="18">
        <f t="shared" si="43"/>
        <v>0</v>
      </c>
    </row>
    <row r="226" spans="2:10" x14ac:dyDescent="0.35">
      <c r="B226" s="32" t="s">
        <v>2544</v>
      </c>
      <c r="C226" s="5" t="s">
        <v>360</v>
      </c>
      <c r="D226" s="5" t="s">
        <v>238</v>
      </c>
      <c r="E226" s="3">
        <v>0</v>
      </c>
      <c r="F226" s="3">
        <v>0</v>
      </c>
      <c r="G226" s="54">
        <f t="shared" si="41"/>
        <v>0</v>
      </c>
      <c r="H226" s="62">
        <f t="shared" si="44"/>
        <v>0</v>
      </c>
      <c r="I226" s="3">
        <f t="shared" si="42"/>
        <v>0</v>
      </c>
      <c r="J226" s="18">
        <f t="shared" si="43"/>
        <v>0</v>
      </c>
    </row>
    <row r="227" spans="2:10" x14ac:dyDescent="0.35">
      <c r="B227" s="32" t="s">
        <v>2544</v>
      </c>
      <c r="C227" s="5" t="s">
        <v>366</v>
      </c>
      <c r="D227" s="5" t="s">
        <v>122</v>
      </c>
      <c r="E227" s="3">
        <v>-592199</v>
      </c>
      <c r="F227" s="3">
        <v>0</v>
      </c>
      <c r="G227" s="54">
        <f t="shared" si="41"/>
        <v>0</v>
      </c>
      <c r="H227" s="62">
        <f t="shared" si="44"/>
        <v>0</v>
      </c>
      <c r="I227" s="3">
        <f t="shared" si="42"/>
        <v>0</v>
      </c>
      <c r="J227" s="18">
        <f t="shared" si="43"/>
        <v>0</v>
      </c>
    </row>
    <row r="228" spans="2:10" x14ac:dyDescent="0.35">
      <c r="B228" s="32" t="s">
        <v>2544</v>
      </c>
      <c r="C228" s="5" t="s">
        <v>356</v>
      </c>
      <c r="D228" s="5" t="s">
        <v>357</v>
      </c>
      <c r="E228" s="3">
        <v>3500</v>
      </c>
      <c r="F228" s="3">
        <v>2576</v>
      </c>
      <c r="G228" s="54">
        <f t="shared" si="41"/>
        <v>4416</v>
      </c>
      <c r="H228" s="62">
        <f t="shared" si="44"/>
        <v>4680.96</v>
      </c>
      <c r="I228" s="3">
        <f t="shared" si="42"/>
        <v>4938.4128000000001</v>
      </c>
      <c r="J228" s="18">
        <f t="shared" si="43"/>
        <v>5200.1486783999999</v>
      </c>
    </row>
    <row r="229" spans="2:10" x14ac:dyDescent="0.35">
      <c r="B229" s="32" t="s">
        <v>2544</v>
      </c>
      <c r="C229" s="5" t="s">
        <v>332</v>
      </c>
      <c r="D229" s="5" t="s">
        <v>52</v>
      </c>
      <c r="E229" s="3">
        <v>0</v>
      </c>
      <c r="F229" s="3">
        <v>93333.47</v>
      </c>
      <c r="G229" s="54">
        <f t="shared" si="41"/>
        <v>160000.23428571428</v>
      </c>
      <c r="H229" s="62">
        <f>+G229*1.058</f>
        <v>169280.24787428571</v>
      </c>
      <c r="I229" s="3">
        <f t="shared" si="42"/>
        <v>178590.66150737141</v>
      </c>
      <c r="J229" s="18">
        <f t="shared" si="43"/>
        <v>188055.96656726208</v>
      </c>
    </row>
    <row r="230" spans="2:10" x14ac:dyDescent="0.35">
      <c r="B230" s="32" t="s">
        <v>2544</v>
      </c>
      <c r="C230" s="5" t="s">
        <v>347</v>
      </c>
      <c r="D230" s="5" t="s">
        <v>223</v>
      </c>
      <c r="E230" s="3">
        <v>250000</v>
      </c>
      <c r="F230" s="3">
        <v>29509.27</v>
      </c>
      <c r="G230" s="54">
        <f t="shared" si="41"/>
        <v>50587.319999999992</v>
      </c>
      <c r="H230" s="62">
        <f>+G230*1.06</f>
        <v>53622.559199999996</v>
      </c>
      <c r="I230" s="3">
        <f t="shared" si="42"/>
        <v>56571.799955999995</v>
      </c>
      <c r="J230" s="18">
        <f t="shared" si="43"/>
        <v>59570.10535366799</v>
      </c>
    </row>
    <row r="231" spans="2:10" x14ac:dyDescent="0.35">
      <c r="B231" s="32" t="s">
        <v>2544</v>
      </c>
      <c r="C231" s="5" t="s">
        <v>365</v>
      </c>
      <c r="D231" s="5" t="s">
        <v>120</v>
      </c>
      <c r="E231" s="3">
        <v>0</v>
      </c>
      <c r="F231" s="3">
        <v>0</v>
      </c>
      <c r="G231" s="54">
        <f t="shared" si="41"/>
        <v>0</v>
      </c>
      <c r="H231" s="62">
        <f>+G231*1.06</f>
        <v>0</v>
      </c>
      <c r="I231" s="3">
        <f t="shared" si="42"/>
        <v>0</v>
      </c>
      <c r="J231" s="18">
        <f t="shared" si="43"/>
        <v>0</v>
      </c>
    </row>
    <row r="232" spans="2:10" x14ac:dyDescent="0.35">
      <c r="B232" s="32" t="s">
        <v>2544</v>
      </c>
      <c r="C232" s="5" t="s">
        <v>364</v>
      </c>
      <c r="D232" s="5" t="s">
        <v>250</v>
      </c>
      <c r="E232" s="3">
        <v>0</v>
      </c>
      <c r="F232" s="3">
        <v>0</v>
      </c>
      <c r="G232" s="54">
        <f t="shared" si="41"/>
        <v>0</v>
      </c>
      <c r="H232" s="62">
        <f>+G232*1.06</f>
        <v>0</v>
      </c>
      <c r="I232" s="3">
        <f t="shared" si="42"/>
        <v>0</v>
      </c>
      <c r="J232" s="18">
        <f t="shared" si="43"/>
        <v>0</v>
      </c>
    </row>
    <row r="233" spans="2:10" x14ac:dyDescent="0.35">
      <c r="B233" s="32" t="s">
        <v>2544</v>
      </c>
      <c r="C233" s="5" t="s">
        <v>363</v>
      </c>
      <c r="D233" s="5" t="s">
        <v>248</v>
      </c>
      <c r="E233" s="3">
        <v>50000</v>
      </c>
      <c r="F233" s="3">
        <v>114833.95</v>
      </c>
      <c r="G233" s="54">
        <f t="shared" si="41"/>
        <v>196858.19999999998</v>
      </c>
      <c r="H233" s="62">
        <f>+G233*1.06</f>
        <v>208669.69199999998</v>
      </c>
      <c r="I233" s="3">
        <f t="shared" si="42"/>
        <v>220146.52505999996</v>
      </c>
      <c r="J233" s="18">
        <f t="shared" si="43"/>
        <v>231814.29088817994</v>
      </c>
    </row>
    <row r="234" spans="2:10" x14ac:dyDescent="0.35">
      <c r="B234" s="32" t="s">
        <v>2544</v>
      </c>
      <c r="C234" s="5" t="s">
        <v>328</v>
      </c>
      <c r="D234" s="5" t="s">
        <v>48</v>
      </c>
      <c r="E234" s="3">
        <v>251210</v>
      </c>
      <c r="F234" s="3">
        <v>0</v>
      </c>
      <c r="G234" s="54">
        <f t="shared" si="41"/>
        <v>0</v>
      </c>
      <c r="H234" s="62">
        <f>+G234*1.058</f>
        <v>0</v>
      </c>
      <c r="I234" s="3">
        <f t="shared" si="42"/>
        <v>0</v>
      </c>
      <c r="J234" s="18">
        <f t="shared" si="43"/>
        <v>0</v>
      </c>
    </row>
    <row r="235" spans="2:10" x14ac:dyDescent="0.35">
      <c r="B235" s="32" t="s">
        <v>2544</v>
      </c>
      <c r="C235" s="5" t="s">
        <v>367</v>
      </c>
      <c r="D235" s="5" t="s">
        <v>368</v>
      </c>
      <c r="E235" s="3">
        <v>100</v>
      </c>
      <c r="F235" s="3">
        <v>0</v>
      </c>
      <c r="G235" s="54">
        <f t="shared" si="41"/>
        <v>0</v>
      </c>
      <c r="H235" s="62">
        <f>+G235*1.06</f>
        <v>0</v>
      </c>
      <c r="I235" s="3">
        <f t="shared" si="42"/>
        <v>0</v>
      </c>
      <c r="J235" s="18">
        <f t="shared" si="43"/>
        <v>0</v>
      </c>
    </row>
    <row r="236" spans="2:10" x14ac:dyDescent="0.35">
      <c r="B236" s="32" t="s">
        <v>2544</v>
      </c>
      <c r="C236" s="5" t="s">
        <v>322</v>
      </c>
      <c r="D236" s="5" t="s">
        <v>38</v>
      </c>
      <c r="E236" s="3">
        <v>0</v>
      </c>
      <c r="F236" s="3">
        <v>0</v>
      </c>
      <c r="G236" s="54">
        <f t="shared" si="41"/>
        <v>0</v>
      </c>
      <c r="H236" s="62">
        <f>+G236*1.058</f>
        <v>0</v>
      </c>
      <c r="I236" s="3">
        <f t="shared" si="42"/>
        <v>0</v>
      </c>
      <c r="J236" s="18">
        <f t="shared" si="43"/>
        <v>0</v>
      </c>
    </row>
    <row r="237" spans="2:10" x14ac:dyDescent="0.35">
      <c r="B237" s="32" t="s">
        <v>2544</v>
      </c>
      <c r="C237" s="5" t="s">
        <v>325</v>
      </c>
      <c r="D237" s="5" t="s">
        <v>42</v>
      </c>
      <c r="E237" s="3">
        <v>96846</v>
      </c>
      <c r="F237" s="3">
        <v>47863.55</v>
      </c>
      <c r="G237" s="54">
        <f t="shared" si="41"/>
        <v>82051.8</v>
      </c>
      <c r="H237" s="62">
        <f>+G237*1.058</f>
        <v>86810.804400000008</v>
      </c>
      <c r="I237" s="3">
        <f t="shared" si="42"/>
        <v>91585.398642</v>
      </c>
      <c r="J237" s="18">
        <f t="shared" si="43"/>
        <v>96439.424770025988</v>
      </c>
    </row>
    <row r="238" spans="2:10" x14ac:dyDescent="0.35">
      <c r="B238" s="32" t="s">
        <v>2544</v>
      </c>
      <c r="C238" s="5" t="s">
        <v>362</v>
      </c>
      <c r="D238" s="5" t="s">
        <v>244</v>
      </c>
      <c r="E238" s="3">
        <v>0</v>
      </c>
      <c r="F238" s="3">
        <v>0</v>
      </c>
      <c r="G238" s="54">
        <f t="shared" si="41"/>
        <v>0</v>
      </c>
      <c r="H238" s="62">
        <f>+G238*1.06</f>
        <v>0</v>
      </c>
      <c r="I238" s="3">
        <f t="shared" si="42"/>
        <v>0</v>
      </c>
      <c r="J238" s="18">
        <f t="shared" si="43"/>
        <v>0</v>
      </c>
    </row>
    <row r="239" spans="2:10" x14ac:dyDescent="0.35">
      <c r="B239" s="32" t="s">
        <v>2544</v>
      </c>
      <c r="C239" s="5" t="s">
        <v>339</v>
      </c>
      <c r="D239" s="5" t="s">
        <v>340</v>
      </c>
      <c r="E239" s="3">
        <v>2000</v>
      </c>
      <c r="F239" s="3">
        <f>1408-172.91</f>
        <v>1235.0899999999999</v>
      </c>
      <c r="G239" s="54">
        <f t="shared" si="41"/>
        <v>2117.2971428571427</v>
      </c>
      <c r="H239" s="62">
        <f>+G239*1.06</f>
        <v>2244.3349714285714</v>
      </c>
      <c r="I239" s="3">
        <f t="shared" si="42"/>
        <v>2367.7733948571426</v>
      </c>
      <c r="J239" s="18">
        <f t="shared" si="43"/>
        <v>2493.2653847845709</v>
      </c>
    </row>
    <row r="240" spans="2:10" x14ac:dyDescent="0.35">
      <c r="B240" s="32" t="s">
        <v>2544</v>
      </c>
      <c r="C240" s="5" t="s">
        <v>358</v>
      </c>
      <c r="D240" s="5" t="s">
        <v>359</v>
      </c>
      <c r="E240" s="3">
        <v>0</v>
      </c>
      <c r="F240" s="3">
        <v>0</v>
      </c>
      <c r="G240" s="54">
        <f t="shared" si="41"/>
        <v>0</v>
      </c>
      <c r="H240" s="62">
        <f>+G240*1.06</f>
        <v>0</v>
      </c>
      <c r="I240" s="3">
        <f t="shared" si="42"/>
        <v>0</v>
      </c>
      <c r="J240" s="18">
        <f t="shared" si="43"/>
        <v>0</v>
      </c>
    </row>
    <row r="241" spans="2:10" x14ac:dyDescent="0.35">
      <c r="B241" s="32" t="s">
        <v>2544</v>
      </c>
      <c r="C241" s="5" t="s">
        <v>341</v>
      </c>
      <c r="D241" s="5" t="s">
        <v>342</v>
      </c>
      <c r="E241" s="3">
        <v>0</v>
      </c>
      <c r="F241" s="3">
        <v>0</v>
      </c>
      <c r="G241" s="54">
        <f t="shared" si="41"/>
        <v>0</v>
      </c>
      <c r="H241" s="62">
        <f>+G241*1.06</f>
        <v>0</v>
      </c>
      <c r="I241" s="3">
        <f t="shared" si="42"/>
        <v>0</v>
      </c>
      <c r="J241" s="18">
        <f t="shared" si="43"/>
        <v>0</v>
      </c>
    </row>
    <row r="242" spans="2:10" x14ac:dyDescent="0.35">
      <c r="B242" s="32" t="s">
        <v>2544</v>
      </c>
      <c r="C242" s="5" t="s">
        <v>348</v>
      </c>
      <c r="D242" s="5" t="s">
        <v>349</v>
      </c>
      <c r="E242" s="3">
        <v>2000</v>
      </c>
      <c r="F242" s="3">
        <f>209.2-25.69</f>
        <v>183.51</v>
      </c>
      <c r="G242" s="54">
        <f t="shared" si="41"/>
        <v>314.58857142857141</v>
      </c>
      <c r="H242" s="62">
        <f>+G242*1.06</f>
        <v>333.46388571428571</v>
      </c>
      <c r="I242" s="3">
        <f t="shared" si="42"/>
        <v>351.8043994285714</v>
      </c>
      <c r="J242" s="18">
        <f t="shared" si="43"/>
        <v>370.45003259828565</v>
      </c>
    </row>
    <row r="243" spans="2:10" x14ac:dyDescent="0.35">
      <c r="B243" s="32" t="s">
        <v>2544</v>
      </c>
      <c r="C243" s="5" t="s">
        <v>320</v>
      </c>
      <c r="D243" s="5" t="s">
        <v>34</v>
      </c>
      <c r="E243" s="3">
        <v>3988773</v>
      </c>
      <c r="F243" s="3">
        <f>1933609.09-2252.41</f>
        <v>1931356.6800000002</v>
      </c>
      <c r="G243" s="54">
        <f t="shared" si="41"/>
        <v>3310897.1657142858</v>
      </c>
      <c r="H243" s="62">
        <f>+G243*1.058</f>
        <v>3502929.2013257146</v>
      </c>
      <c r="I243" s="3">
        <f t="shared" si="42"/>
        <v>3695590.3073986284</v>
      </c>
      <c r="J243" s="18">
        <f t="shared" si="43"/>
        <v>3891456.5936907553</v>
      </c>
    </row>
    <row r="244" spans="2:10" x14ac:dyDescent="0.35">
      <c r="B244" s="32" t="s">
        <v>2544</v>
      </c>
      <c r="C244" s="5" t="s">
        <v>329</v>
      </c>
      <c r="D244" s="5" t="s">
        <v>50</v>
      </c>
      <c r="E244" s="3">
        <v>39888</v>
      </c>
      <c r="F244" s="3">
        <v>19934.97</v>
      </c>
      <c r="G244" s="54">
        <f t="shared" si="41"/>
        <v>34174.234285714287</v>
      </c>
      <c r="H244" s="62">
        <f>+G244*1.058</f>
        <v>36156.339874285717</v>
      </c>
      <c r="I244" s="3">
        <f t="shared" si="42"/>
        <v>38144.938567371428</v>
      </c>
      <c r="J244" s="18">
        <f t="shared" si="43"/>
        <v>40166.620311442108</v>
      </c>
    </row>
    <row r="245" spans="2:10" x14ac:dyDescent="0.35">
      <c r="B245" s="32" t="s">
        <v>2544</v>
      </c>
      <c r="C245" s="5" t="s">
        <v>337</v>
      </c>
      <c r="D245" s="5" t="s">
        <v>92</v>
      </c>
      <c r="E245" s="3">
        <v>500</v>
      </c>
      <c r="F245" s="3">
        <v>0</v>
      </c>
      <c r="G245" s="54">
        <f t="shared" si="41"/>
        <v>0</v>
      </c>
      <c r="H245" s="62">
        <f>+G245*1.06</f>
        <v>0</v>
      </c>
      <c r="I245" s="3">
        <f t="shared" si="42"/>
        <v>0</v>
      </c>
      <c r="J245" s="18">
        <f t="shared" si="43"/>
        <v>0</v>
      </c>
    </row>
    <row r="246" spans="2:10" x14ac:dyDescent="0.35">
      <c r="B246" s="32" t="s">
        <v>2544</v>
      </c>
      <c r="C246" s="5" t="s">
        <v>338</v>
      </c>
      <c r="D246" s="5" t="s">
        <v>94</v>
      </c>
      <c r="E246" s="3">
        <v>0</v>
      </c>
      <c r="F246" s="3">
        <v>-542.59</v>
      </c>
      <c r="G246" s="54">
        <f t="shared" si="41"/>
        <v>-930.15428571428572</v>
      </c>
      <c r="H246" s="62">
        <f>+G246*1.06</f>
        <v>-985.9635428571429</v>
      </c>
      <c r="I246" s="3">
        <f t="shared" si="42"/>
        <v>-1040.1915377142857</v>
      </c>
      <c r="J246" s="18">
        <f t="shared" si="43"/>
        <v>-1095.3216892131427</v>
      </c>
    </row>
    <row r="247" spans="2:10" x14ac:dyDescent="0.35">
      <c r="B247" s="32" t="s">
        <v>2544</v>
      </c>
      <c r="C247" s="5" t="s">
        <v>345</v>
      </c>
      <c r="D247" s="5" t="s">
        <v>346</v>
      </c>
      <c r="E247" s="3">
        <v>0</v>
      </c>
      <c r="F247" s="3">
        <v>0</v>
      </c>
      <c r="G247" s="54">
        <f t="shared" si="41"/>
        <v>0</v>
      </c>
      <c r="H247" s="62">
        <f>+G247*1.06</f>
        <v>0</v>
      </c>
      <c r="I247" s="3">
        <f t="shared" si="42"/>
        <v>0</v>
      </c>
      <c r="J247" s="18">
        <f t="shared" si="43"/>
        <v>0</v>
      </c>
    </row>
    <row r="248" spans="2:10" x14ac:dyDescent="0.35">
      <c r="B248" s="32" t="s">
        <v>2544</v>
      </c>
      <c r="C248" s="5" t="s">
        <v>323</v>
      </c>
      <c r="D248" s="5" t="s">
        <v>40</v>
      </c>
      <c r="E248" s="3">
        <v>0</v>
      </c>
      <c r="F248" s="3">
        <v>0</v>
      </c>
      <c r="G248" s="54">
        <f t="shared" si="41"/>
        <v>0</v>
      </c>
      <c r="H248" s="62">
        <f>+G248*1.058</f>
        <v>0</v>
      </c>
      <c r="I248" s="3">
        <f t="shared" si="42"/>
        <v>0</v>
      </c>
      <c r="J248" s="18">
        <f t="shared" si="43"/>
        <v>0</v>
      </c>
    </row>
    <row r="249" spans="2:10" x14ac:dyDescent="0.35">
      <c r="B249" s="32" t="s">
        <v>2544</v>
      </c>
      <c r="C249" s="5" t="s">
        <v>352</v>
      </c>
      <c r="D249" s="5" t="s">
        <v>98</v>
      </c>
      <c r="E249" s="3">
        <v>30000</v>
      </c>
      <c r="F249" s="3">
        <v>5623</v>
      </c>
      <c r="G249" s="54">
        <f t="shared" si="41"/>
        <v>9639.4285714285725</v>
      </c>
      <c r="H249" s="62">
        <f>+G249*1.06</f>
        <v>10217.794285714288</v>
      </c>
      <c r="I249" s="3">
        <f t="shared" si="42"/>
        <v>10779.772971428572</v>
      </c>
      <c r="J249" s="18">
        <f t="shared" si="43"/>
        <v>11351.100938914286</v>
      </c>
    </row>
    <row r="250" spans="2:10" x14ac:dyDescent="0.35">
      <c r="B250" s="32" t="s">
        <v>2544</v>
      </c>
      <c r="C250" s="5" t="s">
        <v>353</v>
      </c>
      <c r="D250" s="5" t="s">
        <v>102</v>
      </c>
      <c r="E250" s="3">
        <v>0</v>
      </c>
      <c r="F250" s="3">
        <v>0</v>
      </c>
      <c r="G250" s="54">
        <f t="shared" si="41"/>
        <v>0</v>
      </c>
      <c r="H250" s="62">
        <f>+G250*1.06</f>
        <v>0</v>
      </c>
      <c r="I250" s="3">
        <f t="shared" si="42"/>
        <v>0</v>
      </c>
      <c r="J250" s="18">
        <f t="shared" si="43"/>
        <v>0</v>
      </c>
    </row>
    <row r="251" spans="2:10" x14ac:dyDescent="0.35">
      <c r="B251" s="32" t="s">
        <v>2544</v>
      </c>
      <c r="C251" s="5" t="s">
        <v>326</v>
      </c>
      <c r="D251" s="5" t="s">
        <v>44</v>
      </c>
      <c r="E251" s="3">
        <v>18830</v>
      </c>
      <c r="F251" s="3">
        <v>9837.68</v>
      </c>
      <c r="G251" s="54">
        <f t="shared" si="41"/>
        <v>16864.594285714287</v>
      </c>
      <c r="H251" s="62">
        <f>+G251*1.058</f>
        <v>17842.740754285718</v>
      </c>
      <c r="I251" s="3">
        <f t="shared" si="42"/>
        <v>18824.09149577143</v>
      </c>
      <c r="J251" s="18">
        <f t="shared" si="43"/>
        <v>19821.768345047316</v>
      </c>
    </row>
    <row r="252" spans="2:10" s="8" customFormat="1" x14ac:dyDescent="0.35">
      <c r="B252" s="33" t="s">
        <v>2546</v>
      </c>
      <c r="C252" s="5"/>
      <c r="D252" s="5"/>
      <c r="E252" s="10">
        <f>SUM(E213:E251)</f>
        <v>4761425</v>
      </c>
      <c r="F252" s="10">
        <f t="shared" ref="F252:J252" si="45">SUM(F213:F251)</f>
        <v>2667171.7700000005</v>
      </c>
      <c r="G252" s="59">
        <f t="shared" si="45"/>
        <v>4572294.462857143</v>
      </c>
      <c r="H252" s="63">
        <f t="shared" si="45"/>
        <v>4838650.5356228575</v>
      </c>
      <c r="I252" s="10">
        <f t="shared" si="45"/>
        <v>5104776.3150821142</v>
      </c>
      <c r="J252" s="22">
        <f t="shared" si="45"/>
        <v>5375329.4597814661</v>
      </c>
    </row>
    <row r="253" spans="2:10" s="8" customFormat="1" ht="10.5" customHeight="1" x14ac:dyDescent="0.35">
      <c r="B253" s="23"/>
      <c r="E253" s="9"/>
      <c r="F253" s="9"/>
      <c r="G253" s="9"/>
      <c r="H253" s="64"/>
      <c r="I253" s="9"/>
      <c r="J253" s="21"/>
    </row>
    <row r="254" spans="2:10" s="8" customFormat="1" ht="15" thickBot="1" x14ac:dyDescent="0.4">
      <c r="B254" s="35" t="s">
        <v>2548</v>
      </c>
      <c r="C254" s="25"/>
      <c r="D254" s="25"/>
      <c r="E254" s="26">
        <f>+E211+E252</f>
        <v>4760425</v>
      </c>
      <c r="F254" s="26">
        <f t="shared" ref="F254:J254" si="46">+F211+F252</f>
        <v>2667171.7700000005</v>
      </c>
      <c r="G254" s="60">
        <f t="shared" si="46"/>
        <v>4572294.462857143</v>
      </c>
      <c r="H254" s="65">
        <f t="shared" si="46"/>
        <v>4838650.5356228575</v>
      </c>
      <c r="I254" s="26">
        <f t="shared" si="46"/>
        <v>5104776.3150821142</v>
      </c>
      <c r="J254" s="27">
        <f t="shared" si="46"/>
        <v>5375329.4597814661</v>
      </c>
    </row>
    <row r="255" spans="2:10" s="8" customFormat="1" x14ac:dyDescent="0.35">
      <c r="E255" s="9"/>
      <c r="F255" s="9"/>
      <c r="G255" s="9"/>
      <c r="H255" s="9"/>
      <c r="I255" s="9"/>
      <c r="J255" s="9"/>
    </row>
    <row r="256" spans="2:10" s="8" customFormat="1" x14ac:dyDescent="0.35">
      <c r="E256" s="9"/>
      <c r="F256" s="9"/>
      <c r="G256" s="9"/>
      <c r="H256" s="9"/>
      <c r="I256" s="9"/>
      <c r="J256" s="9"/>
    </row>
    <row r="257" spans="1:10" s="8" customFormat="1" ht="15" thickBot="1" x14ac:dyDescent="0.4">
      <c r="A257" s="12" t="s">
        <v>2589</v>
      </c>
      <c r="B257" s="67" t="s">
        <v>2553</v>
      </c>
      <c r="E257" s="9"/>
      <c r="F257" s="9"/>
      <c r="G257" s="9"/>
      <c r="H257" s="9"/>
      <c r="I257" s="9"/>
      <c r="J257" s="9"/>
    </row>
    <row r="258" spans="1:10" x14ac:dyDescent="0.35">
      <c r="B258" s="31" t="s">
        <v>2543</v>
      </c>
      <c r="C258" s="14" t="s">
        <v>383</v>
      </c>
      <c r="D258" s="14" t="s">
        <v>384</v>
      </c>
      <c r="E258" s="15">
        <v>-3800</v>
      </c>
      <c r="F258" s="15">
        <f>124-2604.95</f>
        <v>-2480.9499999999998</v>
      </c>
      <c r="G258" s="58">
        <f t="shared" ref="G258:G302" si="47">+F258/7*12</f>
        <v>-4253.057142857142</v>
      </c>
      <c r="H258" s="61">
        <v>-5000</v>
      </c>
      <c r="I258" s="15">
        <f>+H258*1.055</f>
        <v>-5275</v>
      </c>
      <c r="J258" s="16">
        <f>+I258*1.053</f>
        <v>-5554.5749999999998</v>
      </c>
    </row>
    <row r="259" spans="1:10" x14ac:dyDescent="0.35">
      <c r="B259" s="32" t="s">
        <v>2543</v>
      </c>
      <c r="C259" s="5" t="s">
        <v>385</v>
      </c>
      <c r="D259" s="5" t="s">
        <v>126</v>
      </c>
      <c r="E259" s="3">
        <v>0</v>
      </c>
      <c r="F259" s="3">
        <v>0</v>
      </c>
      <c r="G259" s="54">
        <f t="shared" si="47"/>
        <v>0</v>
      </c>
      <c r="H259" s="62">
        <f t="shared" ref="H259:H265" si="48">+G259*1.06</f>
        <v>0</v>
      </c>
      <c r="I259" s="3">
        <f t="shared" ref="I259:I265" si="49">+H259*1.055</f>
        <v>0</v>
      </c>
      <c r="J259" s="18">
        <f t="shared" ref="J259:J265" si="50">+I259*1.053</f>
        <v>0</v>
      </c>
    </row>
    <row r="260" spans="1:10" x14ac:dyDescent="0.35">
      <c r="B260" s="32" t="s">
        <v>2543</v>
      </c>
      <c r="C260" s="5" t="s">
        <v>386</v>
      </c>
      <c r="D260" s="5" t="s">
        <v>387</v>
      </c>
      <c r="E260" s="3">
        <v>-2300</v>
      </c>
      <c r="F260" s="3">
        <v>-673</v>
      </c>
      <c r="G260" s="54">
        <f t="shared" si="47"/>
        <v>-1153.7142857142858</v>
      </c>
      <c r="H260" s="62">
        <v>-1200</v>
      </c>
      <c r="I260" s="3">
        <f t="shared" si="49"/>
        <v>-1266</v>
      </c>
      <c r="J260" s="18">
        <f t="shared" si="50"/>
        <v>-1333.098</v>
      </c>
    </row>
    <row r="261" spans="1:10" x14ac:dyDescent="0.35">
      <c r="B261" s="32" t="s">
        <v>2543</v>
      </c>
      <c r="C261" s="5" t="s">
        <v>388</v>
      </c>
      <c r="D261" s="5" t="s">
        <v>389</v>
      </c>
      <c r="E261" s="3">
        <v>-714149</v>
      </c>
      <c r="F261" s="3">
        <v>0</v>
      </c>
      <c r="G261" s="54">
        <f t="shared" si="47"/>
        <v>0</v>
      </c>
      <c r="H261" s="62">
        <f t="shared" si="48"/>
        <v>0</v>
      </c>
      <c r="I261" s="3">
        <f t="shared" si="49"/>
        <v>0</v>
      </c>
      <c r="J261" s="18">
        <f t="shared" si="50"/>
        <v>0</v>
      </c>
    </row>
    <row r="262" spans="1:10" x14ac:dyDescent="0.35">
      <c r="B262" s="32" t="s">
        <v>2543</v>
      </c>
      <c r="C262" s="5" t="s">
        <v>390</v>
      </c>
      <c r="D262" s="5" t="s">
        <v>391</v>
      </c>
      <c r="E262" s="3">
        <v>-757</v>
      </c>
      <c r="F262" s="3">
        <v>-204.75</v>
      </c>
      <c r="G262" s="54">
        <f t="shared" si="47"/>
        <v>-351</v>
      </c>
      <c r="H262" s="62">
        <v>-400</v>
      </c>
      <c r="I262" s="3">
        <f t="shared" si="49"/>
        <v>-422</v>
      </c>
      <c r="J262" s="18">
        <f t="shared" si="50"/>
        <v>-444.36599999999999</v>
      </c>
    </row>
    <row r="263" spans="1:10" x14ac:dyDescent="0.35">
      <c r="B263" s="32"/>
      <c r="C263" s="5"/>
      <c r="D263" s="5" t="s">
        <v>2656</v>
      </c>
      <c r="E263" s="3"/>
      <c r="F263" s="3"/>
      <c r="G263" s="54"/>
      <c r="H263" s="62"/>
      <c r="I263" s="3"/>
      <c r="J263" s="18"/>
    </row>
    <row r="264" spans="1:10" x14ac:dyDescent="0.35">
      <c r="B264" s="32" t="s">
        <v>2543</v>
      </c>
      <c r="C264" s="5" t="s">
        <v>392</v>
      </c>
      <c r="D264" s="5" t="s">
        <v>30</v>
      </c>
      <c r="E264" s="3">
        <v>0</v>
      </c>
      <c r="F264" s="3">
        <v>0</v>
      </c>
      <c r="G264" s="54">
        <f t="shared" si="47"/>
        <v>0</v>
      </c>
      <c r="H264" s="62">
        <f t="shared" si="48"/>
        <v>0</v>
      </c>
      <c r="I264" s="3">
        <f t="shared" si="49"/>
        <v>0</v>
      </c>
      <c r="J264" s="18">
        <f t="shared" si="50"/>
        <v>0</v>
      </c>
    </row>
    <row r="265" spans="1:10" x14ac:dyDescent="0.35">
      <c r="B265" s="32" t="s">
        <v>2543</v>
      </c>
      <c r="C265" s="5" t="s">
        <v>393</v>
      </c>
      <c r="D265" s="5" t="s">
        <v>32</v>
      </c>
      <c r="E265" s="3">
        <v>0</v>
      </c>
      <c r="F265" s="3">
        <v>0</v>
      </c>
      <c r="G265" s="54">
        <f t="shared" si="47"/>
        <v>0</v>
      </c>
      <c r="H265" s="62">
        <f t="shared" si="48"/>
        <v>0</v>
      </c>
      <c r="I265" s="3">
        <f t="shared" si="49"/>
        <v>0</v>
      </c>
      <c r="J265" s="18">
        <f t="shared" si="50"/>
        <v>0</v>
      </c>
    </row>
    <row r="266" spans="1:10" s="8" customFormat="1" x14ac:dyDescent="0.35">
      <c r="B266" s="33" t="s">
        <v>2545</v>
      </c>
      <c r="C266" s="5"/>
      <c r="D266" s="5"/>
      <c r="E266" s="10">
        <f>SUM(E258:E265)</f>
        <v>-721006</v>
      </c>
      <c r="F266" s="10">
        <f t="shared" ref="F266:J266" si="51">SUM(F258:F265)</f>
        <v>-3358.7</v>
      </c>
      <c r="G266" s="59">
        <f t="shared" si="51"/>
        <v>-5757.7714285714283</v>
      </c>
      <c r="H266" s="63">
        <f t="shared" si="51"/>
        <v>-6600</v>
      </c>
      <c r="I266" s="10">
        <f t="shared" si="51"/>
        <v>-6963</v>
      </c>
      <c r="J266" s="22">
        <f t="shared" si="51"/>
        <v>-7332.0389999999998</v>
      </c>
    </row>
    <row r="267" spans="1:10" s="8" customFormat="1" x14ac:dyDescent="0.35">
      <c r="B267" s="23"/>
      <c r="E267" s="9"/>
      <c r="F267" s="9"/>
      <c r="G267" s="9"/>
      <c r="H267" s="64"/>
      <c r="I267" s="9"/>
      <c r="J267" s="21"/>
    </row>
    <row r="268" spans="1:10" x14ac:dyDescent="0.35">
      <c r="B268" s="32" t="s">
        <v>2544</v>
      </c>
      <c r="C268" s="5" t="s">
        <v>405</v>
      </c>
      <c r="D268" s="5" t="s">
        <v>66</v>
      </c>
      <c r="E268" s="3">
        <v>0</v>
      </c>
      <c r="F268" s="3">
        <v>0</v>
      </c>
      <c r="G268" s="54">
        <f t="shared" ref="G268:G292" si="52">+F268/7*12</f>
        <v>0</v>
      </c>
      <c r="H268" s="62">
        <f>+G268*1.06</f>
        <v>0</v>
      </c>
      <c r="I268" s="3">
        <f t="shared" ref="I268:I292" si="53">+H268*1.055</f>
        <v>0</v>
      </c>
      <c r="J268" s="18">
        <f t="shared" ref="J268:J292" si="54">+I268*1.053</f>
        <v>0</v>
      </c>
    </row>
    <row r="269" spans="1:10" x14ac:dyDescent="0.35">
      <c r="B269" s="32" t="s">
        <v>2544</v>
      </c>
      <c r="C269" s="5" t="s">
        <v>399</v>
      </c>
      <c r="D269" s="5" t="s">
        <v>46</v>
      </c>
      <c r="E269" s="3">
        <v>5181</v>
      </c>
      <c r="F269" s="3">
        <v>0</v>
      </c>
      <c r="G269" s="54">
        <f t="shared" si="52"/>
        <v>0</v>
      </c>
      <c r="H269" s="62">
        <f>+G269*1.058</f>
        <v>0</v>
      </c>
      <c r="I269" s="3">
        <f t="shared" si="53"/>
        <v>0</v>
      </c>
      <c r="J269" s="18">
        <f t="shared" si="54"/>
        <v>0</v>
      </c>
    </row>
    <row r="270" spans="1:10" x14ac:dyDescent="0.35">
      <c r="B270" s="32" t="s">
        <v>2544</v>
      </c>
      <c r="C270" s="5" t="s">
        <v>395</v>
      </c>
      <c r="D270" s="5" t="s">
        <v>36</v>
      </c>
      <c r="E270" s="3">
        <v>43177</v>
      </c>
      <c r="F270" s="3">
        <v>0</v>
      </c>
      <c r="G270" s="54">
        <f t="shared" si="52"/>
        <v>0</v>
      </c>
      <c r="H270" s="62">
        <f>+G270*1.058</f>
        <v>0</v>
      </c>
      <c r="I270" s="3">
        <f t="shared" si="53"/>
        <v>0</v>
      </c>
      <c r="J270" s="18">
        <f t="shared" si="54"/>
        <v>0</v>
      </c>
    </row>
    <row r="271" spans="1:10" x14ac:dyDescent="0.35">
      <c r="B271" s="32" t="s">
        <v>2544</v>
      </c>
      <c r="C271" s="5" t="s">
        <v>422</v>
      </c>
      <c r="D271" s="5" t="s">
        <v>124</v>
      </c>
      <c r="E271" s="3">
        <v>0</v>
      </c>
      <c r="F271" s="3">
        <v>0</v>
      </c>
      <c r="G271" s="54">
        <f t="shared" si="52"/>
        <v>0</v>
      </c>
      <c r="H271" s="62">
        <f>+G271*1.06</f>
        <v>0</v>
      </c>
      <c r="I271" s="3">
        <f t="shared" si="53"/>
        <v>0</v>
      </c>
      <c r="J271" s="18">
        <f t="shared" si="54"/>
        <v>0</v>
      </c>
    </row>
    <row r="272" spans="1:10" x14ac:dyDescent="0.35">
      <c r="B272" s="32" t="s">
        <v>2544</v>
      </c>
      <c r="C272" s="5" t="s">
        <v>404</v>
      </c>
      <c r="D272" s="5" t="s">
        <v>64</v>
      </c>
      <c r="E272" s="3">
        <v>0</v>
      </c>
      <c r="F272" s="3">
        <v>0</v>
      </c>
      <c r="G272" s="54">
        <f t="shared" si="52"/>
        <v>0</v>
      </c>
      <c r="H272" s="62">
        <f>+G272*1.06</f>
        <v>0</v>
      </c>
      <c r="I272" s="3">
        <f t="shared" si="53"/>
        <v>0</v>
      </c>
      <c r="J272" s="18">
        <f t="shared" si="54"/>
        <v>0</v>
      </c>
    </row>
    <row r="273" spans="2:10" x14ac:dyDescent="0.35">
      <c r="B273" s="32" t="s">
        <v>2544</v>
      </c>
      <c r="C273" s="5" t="s">
        <v>407</v>
      </c>
      <c r="D273" s="5" t="s">
        <v>74</v>
      </c>
      <c r="E273" s="3">
        <v>0</v>
      </c>
      <c r="F273" s="3">
        <f>1183.59-145.35</f>
        <v>1038.24</v>
      </c>
      <c r="G273" s="54">
        <f t="shared" si="52"/>
        <v>1779.84</v>
      </c>
      <c r="H273" s="62">
        <v>0</v>
      </c>
      <c r="I273" s="3">
        <f t="shared" si="53"/>
        <v>0</v>
      </c>
      <c r="J273" s="18">
        <f t="shared" si="54"/>
        <v>0</v>
      </c>
    </row>
    <row r="274" spans="2:10" x14ac:dyDescent="0.35">
      <c r="B274" s="32" t="s">
        <v>2544</v>
      </c>
      <c r="C274" s="5" t="s">
        <v>402</v>
      </c>
      <c r="D274" s="5" t="s">
        <v>331</v>
      </c>
      <c r="E274" s="3">
        <v>2122</v>
      </c>
      <c r="F274" s="3">
        <v>0</v>
      </c>
      <c r="G274" s="54">
        <f t="shared" si="52"/>
        <v>0</v>
      </c>
      <c r="H274" s="62">
        <f>+G274*1.058</f>
        <v>0</v>
      </c>
      <c r="I274" s="3">
        <f t="shared" si="53"/>
        <v>0</v>
      </c>
      <c r="J274" s="18">
        <f t="shared" si="54"/>
        <v>0</v>
      </c>
    </row>
    <row r="275" spans="2:10" x14ac:dyDescent="0.35">
      <c r="B275" s="32" t="s">
        <v>2544</v>
      </c>
      <c r="C275" s="5" t="s">
        <v>406</v>
      </c>
      <c r="D275" s="5" t="s">
        <v>68</v>
      </c>
      <c r="E275" s="3">
        <v>0</v>
      </c>
      <c r="F275" s="3">
        <v>0</v>
      </c>
      <c r="G275" s="54">
        <f t="shared" si="52"/>
        <v>0</v>
      </c>
      <c r="H275" s="62">
        <f>+G275*1.06</f>
        <v>0</v>
      </c>
      <c r="I275" s="3">
        <f t="shared" si="53"/>
        <v>0</v>
      </c>
      <c r="J275" s="18">
        <f t="shared" si="54"/>
        <v>0</v>
      </c>
    </row>
    <row r="276" spans="2:10" x14ac:dyDescent="0.35">
      <c r="B276" s="32" t="s">
        <v>2544</v>
      </c>
      <c r="C276" s="5" t="s">
        <v>408</v>
      </c>
      <c r="D276" s="5" t="s">
        <v>90</v>
      </c>
      <c r="E276" s="3">
        <v>6000</v>
      </c>
      <c r="F276" s="3">
        <v>6000</v>
      </c>
      <c r="G276" s="54">
        <f t="shared" si="52"/>
        <v>10285.714285714286</v>
      </c>
      <c r="H276" s="62">
        <f>+G276*1.06</f>
        <v>10902.857142857143</v>
      </c>
      <c r="I276" s="3">
        <f t="shared" si="53"/>
        <v>11502.514285714286</v>
      </c>
      <c r="J276" s="18">
        <f t="shared" si="54"/>
        <v>12112.147542857141</v>
      </c>
    </row>
    <row r="277" spans="2:10" x14ac:dyDescent="0.35">
      <c r="B277" s="32" t="s">
        <v>2544</v>
      </c>
      <c r="C277" s="5" t="s">
        <v>403</v>
      </c>
      <c r="D277" s="5" t="s">
        <v>52</v>
      </c>
      <c r="E277" s="3">
        <v>0</v>
      </c>
      <c r="F277" s="3">
        <v>0</v>
      </c>
      <c r="G277" s="54">
        <f t="shared" si="52"/>
        <v>0</v>
      </c>
      <c r="H277" s="62">
        <f>+G277*1.058</f>
        <v>0</v>
      </c>
      <c r="I277" s="3">
        <f t="shared" si="53"/>
        <v>0</v>
      </c>
      <c r="J277" s="18">
        <f t="shared" si="54"/>
        <v>0</v>
      </c>
    </row>
    <row r="278" spans="2:10" x14ac:dyDescent="0.35">
      <c r="B278" s="32" t="s">
        <v>2544</v>
      </c>
      <c r="C278" s="5" t="s">
        <v>418</v>
      </c>
      <c r="D278" s="5" t="s">
        <v>120</v>
      </c>
      <c r="E278" s="3">
        <v>0</v>
      </c>
      <c r="F278" s="3">
        <v>0</v>
      </c>
      <c r="G278" s="54">
        <f t="shared" si="52"/>
        <v>0</v>
      </c>
      <c r="H278" s="62">
        <f>+G278*1.06</f>
        <v>0</v>
      </c>
      <c r="I278" s="3">
        <f t="shared" si="53"/>
        <v>0</v>
      </c>
      <c r="J278" s="18">
        <f t="shared" si="54"/>
        <v>0</v>
      </c>
    </row>
    <row r="279" spans="2:10" x14ac:dyDescent="0.35">
      <c r="B279" s="32" t="s">
        <v>2544</v>
      </c>
      <c r="C279" s="5" t="s">
        <v>410</v>
      </c>
      <c r="D279" s="5" t="s">
        <v>411</v>
      </c>
      <c r="E279" s="3">
        <v>0</v>
      </c>
      <c r="F279" s="3">
        <v>0</v>
      </c>
      <c r="G279" s="54">
        <f t="shared" si="52"/>
        <v>0</v>
      </c>
      <c r="H279" s="62">
        <f>+G279*1.06</f>
        <v>0</v>
      </c>
      <c r="I279" s="3">
        <f t="shared" si="53"/>
        <v>0</v>
      </c>
      <c r="J279" s="18">
        <f t="shared" si="54"/>
        <v>0</v>
      </c>
    </row>
    <row r="280" spans="2:10" x14ac:dyDescent="0.35">
      <c r="B280" s="32" t="s">
        <v>2544</v>
      </c>
      <c r="C280" s="5" t="s">
        <v>415</v>
      </c>
      <c r="D280" s="5" t="s">
        <v>248</v>
      </c>
      <c r="E280" s="3">
        <v>0</v>
      </c>
      <c r="F280" s="3">
        <v>0</v>
      </c>
      <c r="G280" s="54">
        <f t="shared" si="52"/>
        <v>0</v>
      </c>
      <c r="H280" s="62">
        <f>+G280*1.06</f>
        <v>0</v>
      </c>
      <c r="I280" s="3">
        <f t="shared" si="53"/>
        <v>0</v>
      </c>
      <c r="J280" s="18">
        <f t="shared" si="54"/>
        <v>0</v>
      </c>
    </row>
    <row r="281" spans="2:10" x14ac:dyDescent="0.35">
      <c r="B281" s="32" t="s">
        <v>2544</v>
      </c>
      <c r="C281" s="5" t="s">
        <v>416</v>
      </c>
      <c r="D281" s="5" t="s">
        <v>417</v>
      </c>
      <c r="E281" s="3">
        <v>1200</v>
      </c>
      <c r="F281" s="3">
        <v>0</v>
      </c>
      <c r="G281" s="54">
        <f t="shared" si="52"/>
        <v>0</v>
      </c>
      <c r="H281" s="62">
        <f>+G281*1.06</f>
        <v>0</v>
      </c>
      <c r="I281" s="3">
        <f t="shared" si="53"/>
        <v>0</v>
      </c>
      <c r="J281" s="18">
        <f t="shared" si="54"/>
        <v>0</v>
      </c>
    </row>
    <row r="282" spans="2:10" x14ac:dyDescent="0.35">
      <c r="B282" s="32" t="s">
        <v>2544</v>
      </c>
      <c r="C282" s="5" t="s">
        <v>400</v>
      </c>
      <c r="D282" s="5" t="s">
        <v>48</v>
      </c>
      <c r="E282" s="3">
        <v>61092</v>
      </c>
      <c r="F282" s="3">
        <v>0</v>
      </c>
      <c r="G282" s="54">
        <f t="shared" si="52"/>
        <v>0</v>
      </c>
      <c r="H282" s="62">
        <f>+G282*1.058</f>
        <v>0</v>
      </c>
      <c r="I282" s="3">
        <f t="shared" si="53"/>
        <v>0</v>
      </c>
      <c r="J282" s="18">
        <f t="shared" si="54"/>
        <v>0</v>
      </c>
    </row>
    <row r="283" spans="2:10" x14ac:dyDescent="0.35">
      <c r="B283" s="32" t="s">
        <v>2544</v>
      </c>
      <c r="C283" s="5" t="s">
        <v>421</v>
      </c>
      <c r="D283" s="5" t="s">
        <v>368</v>
      </c>
      <c r="E283" s="3">
        <v>1750</v>
      </c>
      <c r="F283" s="3">
        <v>11153.61</v>
      </c>
      <c r="G283" s="54">
        <f t="shared" si="52"/>
        <v>19120.474285714285</v>
      </c>
      <c r="H283" s="62">
        <f>+G283*1.06</f>
        <v>20267.702742857142</v>
      </c>
      <c r="I283" s="3">
        <f t="shared" si="53"/>
        <v>21382.426393714282</v>
      </c>
      <c r="J283" s="18">
        <f t="shared" si="54"/>
        <v>22515.694992581139</v>
      </c>
    </row>
    <row r="284" spans="2:10" x14ac:dyDescent="0.35">
      <c r="B284" s="32" t="s">
        <v>2544</v>
      </c>
      <c r="C284" s="5" t="s">
        <v>419</v>
      </c>
      <c r="D284" s="5" t="s">
        <v>420</v>
      </c>
      <c r="E284" s="3">
        <v>0</v>
      </c>
      <c r="F284" s="3">
        <v>0</v>
      </c>
      <c r="G284" s="54">
        <f t="shared" si="52"/>
        <v>0</v>
      </c>
      <c r="H284" s="62">
        <f>+G284*1.06</f>
        <v>0</v>
      </c>
      <c r="I284" s="3">
        <f t="shared" si="53"/>
        <v>0</v>
      </c>
      <c r="J284" s="18">
        <f t="shared" si="54"/>
        <v>0</v>
      </c>
    </row>
    <row r="285" spans="2:10" x14ac:dyDescent="0.35">
      <c r="B285" s="32" t="s">
        <v>2544</v>
      </c>
      <c r="C285" s="5" t="s">
        <v>413</v>
      </c>
      <c r="D285" s="5" t="s">
        <v>414</v>
      </c>
      <c r="E285" s="3">
        <v>0</v>
      </c>
      <c r="F285" s="3">
        <v>0</v>
      </c>
      <c r="G285" s="54">
        <f t="shared" si="52"/>
        <v>0</v>
      </c>
      <c r="H285" s="62">
        <f>+G285*1.06</f>
        <v>0</v>
      </c>
      <c r="I285" s="3">
        <f t="shared" si="53"/>
        <v>0</v>
      </c>
      <c r="J285" s="18">
        <f t="shared" si="54"/>
        <v>0</v>
      </c>
    </row>
    <row r="286" spans="2:10" x14ac:dyDescent="0.35">
      <c r="B286" s="32" t="s">
        <v>2544</v>
      </c>
      <c r="C286" s="5" t="s">
        <v>396</v>
      </c>
      <c r="D286" s="5" t="s">
        <v>38</v>
      </c>
      <c r="E286" s="3">
        <v>0</v>
      </c>
      <c r="F286" s="3">
        <v>0</v>
      </c>
      <c r="G286" s="54">
        <f t="shared" si="52"/>
        <v>0</v>
      </c>
      <c r="H286" s="62">
        <f>+G286*1.058</f>
        <v>0</v>
      </c>
      <c r="I286" s="3">
        <f t="shared" si="53"/>
        <v>0</v>
      </c>
      <c r="J286" s="18">
        <f t="shared" si="54"/>
        <v>0</v>
      </c>
    </row>
    <row r="287" spans="2:10" x14ac:dyDescent="0.35">
      <c r="B287" s="32" t="s">
        <v>2544</v>
      </c>
      <c r="C287" s="5" t="s">
        <v>397</v>
      </c>
      <c r="D287" s="5" t="s">
        <v>42</v>
      </c>
      <c r="E287" s="3">
        <v>70226</v>
      </c>
      <c r="F287" s="3">
        <v>33963.69</v>
      </c>
      <c r="G287" s="54">
        <f t="shared" si="52"/>
        <v>58223.468571428573</v>
      </c>
      <c r="H287" s="62">
        <f>+G287*1.058</f>
        <v>61600.429748571434</v>
      </c>
      <c r="I287" s="3">
        <f t="shared" si="53"/>
        <v>64988.453384742861</v>
      </c>
      <c r="J287" s="18">
        <f t="shared" si="54"/>
        <v>68432.841414134222</v>
      </c>
    </row>
    <row r="288" spans="2:10" x14ac:dyDescent="0.35">
      <c r="B288" s="32" t="s">
        <v>2544</v>
      </c>
      <c r="C288" s="5" t="s">
        <v>394</v>
      </c>
      <c r="D288" s="5" t="s">
        <v>34</v>
      </c>
      <c r="E288" s="3">
        <v>518125</v>
      </c>
      <c r="F288" s="3">
        <v>0</v>
      </c>
      <c r="G288" s="54">
        <f t="shared" si="52"/>
        <v>0</v>
      </c>
      <c r="H288" s="62">
        <f>+G288*1.058</f>
        <v>0</v>
      </c>
      <c r="I288" s="3">
        <f t="shared" si="53"/>
        <v>0</v>
      </c>
      <c r="J288" s="18">
        <f t="shared" si="54"/>
        <v>0</v>
      </c>
    </row>
    <row r="289" spans="1:10" x14ac:dyDescent="0.35">
      <c r="B289" s="32" t="s">
        <v>2544</v>
      </c>
      <c r="C289" s="5" t="s">
        <v>401</v>
      </c>
      <c r="D289" s="5" t="s">
        <v>50</v>
      </c>
      <c r="E289" s="3">
        <v>5181</v>
      </c>
      <c r="F289" s="3">
        <v>0</v>
      </c>
      <c r="G289" s="54">
        <f t="shared" si="52"/>
        <v>0</v>
      </c>
      <c r="H289" s="62">
        <f>+G289*1.058</f>
        <v>0</v>
      </c>
      <c r="I289" s="3">
        <f t="shared" si="53"/>
        <v>0</v>
      </c>
      <c r="J289" s="18">
        <f t="shared" si="54"/>
        <v>0</v>
      </c>
    </row>
    <row r="290" spans="1:10" x14ac:dyDescent="0.35">
      <c r="B290" s="32" t="s">
        <v>2544</v>
      </c>
      <c r="C290" s="5" t="s">
        <v>409</v>
      </c>
      <c r="D290" s="5" t="s">
        <v>94</v>
      </c>
      <c r="E290" s="3">
        <v>0</v>
      </c>
      <c r="F290" s="3">
        <v>0</v>
      </c>
      <c r="G290" s="54">
        <f t="shared" si="52"/>
        <v>0</v>
      </c>
      <c r="H290" s="62">
        <f>+G290*1.06</f>
        <v>0</v>
      </c>
      <c r="I290" s="3">
        <f t="shared" si="53"/>
        <v>0</v>
      </c>
      <c r="J290" s="18">
        <f t="shared" si="54"/>
        <v>0</v>
      </c>
    </row>
    <row r="291" spans="1:10" x14ac:dyDescent="0.35">
      <c r="B291" s="32" t="s">
        <v>2544</v>
      </c>
      <c r="C291" s="5" t="s">
        <v>412</v>
      </c>
      <c r="D291" s="5" t="s">
        <v>98</v>
      </c>
      <c r="E291" s="3">
        <v>1770</v>
      </c>
      <c r="F291" s="3">
        <v>0</v>
      </c>
      <c r="G291" s="54">
        <f t="shared" si="52"/>
        <v>0</v>
      </c>
      <c r="H291" s="62">
        <f>+G291*1.06</f>
        <v>0</v>
      </c>
      <c r="I291" s="3">
        <f t="shared" si="53"/>
        <v>0</v>
      </c>
      <c r="J291" s="18">
        <f t="shared" si="54"/>
        <v>0</v>
      </c>
    </row>
    <row r="292" spans="1:10" x14ac:dyDescent="0.35">
      <c r="B292" s="32" t="s">
        <v>2544</v>
      </c>
      <c r="C292" s="5" t="s">
        <v>398</v>
      </c>
      <c r="D292" s="5" t="s">
        <v>44</v>
      </c>
      <c r="E292" s="3">
        <v>5181</v>
      </c>
      <c r="F292" s="3">
        <v>0</v>
      </c>
      <c r="G292" s="54">
        <f t="shared" si="52"/>
        <v>0</v>
      </c>
      <c r="H292" s="62">
        <f>+G292*1.058</f>
        <v>0</v>
      </c>
      <c r="I292" s="3">
        <f t="shared" si="53"/>
        <v>0</v>
      </c>
      <c r="J292" s="18">
        <f t="shared" si="54"/>
        <v>0</v>
      </c>
    </row>
    <row r="293" spans="1:10" s="8" customFormat="1" x14ac:dyDescent="0.35">
      <c r="B293" s="33" t="s">
        <v>2546</v>
      </c>
      <c r="C293" s="5"/>
      <c r="D293" s="5"/>
      <c r="E293" s="10">
        <f>SUM(E268:E292)</f>
        <v>721005</v>
      </c>
      <c r="F293" s="10">
        <f t="shared" ref="F293:J293" si="55">SUM(F268:F292)</f>
        <v>52155.54</v>
      </c>
      <c r="G293" s="59">
        <f t="shared" si="55"/>
        <v>89409.497142857144</v>
      </c>
      <c r="H293" s="63">
        <f t="shared" si="55"/>
        <v>92770.98963428571</v>
      </c>
      <c r="I293" s="10">
        <f t="shared" si="55"/>
        <v>97873.394064171429</v>
      </c>
      <c r="J293" s="22">
        <f t="shared" si="55"/>
        <v>103060.6839495725</v>
      </c>
    </row>
    <row r="294" spans="1:10" s="8" customFormat="1" ht="9.75" customHeight="1" x14ac:dyDescent="0.35">
      <c r="B294" s="23"/>
      <c r="E294" s="39"/>
      <c r="F294" s="39"/>
      <c r="G294" s="39"/>
      <c r="H294" s="68"/>
      <c r="I294" s="39"/>
      <c r="J294" s="40"/>
    </row>
    <row r="295" spans="1:10" s="8" customFormat="1" ht="15" thickBot="1" x14ac:dyDescent="0.4">
      <c r="B295" s="35" t="s">
        <v>2548</v>
      </c>
      <c r="C295" s="25"/>
      <c r="D295" s="25"/>
      <c r="E295" s="26">
        <f>+E266+E293</f>
        <v>-1</v>
      </c>
      <c r="F295" s="26">
        <f t="shared" ref="F295:J295" si="56">+F266+F293</f>
        <v>48796.840000000004</v>
      </c>
      <c r="G295" s="60">
        <f t="shared" si="56"/>
        <v>83651.725714285712</v>
      </c>
      <c r="H295" s="65">
        <f t="shared" si="56"/>
        <v>86170.98963428571</v>
      </c>
      <c r="I295" s="26">
        <f t="shared" si="56"/>
        <v>90910.394064171429</v>
      </c>
      <c r="J295" s="27">
        <f t="shared" si="56"/>
        <v>95728.644949572496</v>
      </c>
    </row>
    <row r="296" spans="1:10" s="8" customFormat="1" x14ac:dyDescent="0.35">
      <c r="E296" s="9"/>
      <c r="F296" s="9"/>
      <c r="G296" s="9"/>
      <c r="H296" s="9"/>
      <c r="I296" s="9"/>
      <c r="J296" s="9"/>
    </row>
    <row r="297" spans="1:10" s="8" customFormat="1" x14ac:dyDescent="0.35">
      <c r="E297" s="9"/>
      <c r="F297" s="9"/>
      <c r="G297" s="9"/>
      <c r="H297" s="9"/>
      <c r="I297" s="9"/>
      <c r="J297" s="9"/>
    </row>
    <row r="298" spans="1:10" s="8" customFormat="1" ht="15" thickBot="1" x14ac:dyDescent="0.4">
      <c r="A298" s="12" t="s">
        <v>2589</v>
      </c>
      <c r="B298" s="28" t="s">
        <v>2554</v>
      </c>
      <c r="C298" s="12" t="s">
        <v>2594</v>
      </c>
      <c r="E298" s="9"/>
      <c r="F298" s="9"/>
      <c r="G298" s="9"/>
      <c r="H298" s="9"/>
      <c r="I298" s="9"/>
      <c r="J298" s="9"/>
    </row>
    <row r="299" spans="1:10" x14ac:dyDescent="0.35">
      <c r="B299" s="31" t="s">
        <v>2543</v>
      </c>
      <c r="C299" s="14" t="s">
        <v>423</v>
      </c>
      <c r="D299" s="14" t="s">
        <v>424</v>
      </c>
      <c r="E299" s="15">
        <v>-275000</v>
      </c>
      <c r="F299" s="15">
        <f>2458.33-218628.08</f>
        <v>-216169.75</v>
      </c>
      <c r="G299" s="58">
        <f t="shared" si="47"/>
        <v>-370576.71428571432</v>
      </c>
      <c r="H299" s="61">
        <f>+G299*1.06</f>
        <v>-392811.31714285718</v>
      </c>
      <c r="I299" s="15">
        <f>+H299*1.055</f>
        <v>-414415.93958571431</v>
      </c>
      <c r="J299" s="16">
        <f>+I299*1.053</f>
        <v>-436379.98438375717</v>
      </c>
    </row>
    <row r="300" spans="1:10" x14ac:dyDescent="0.35">
      <c r="B300" s="32" t="s">
        <v>2543</v>
      </c>
      <c r="C300" s="5" t="s">
        <v>425</v>
      </c>
      <c r="D300" s="5" t="s">
        <v>126</v>
      </c>
      <c r="E300" s="3">
        <v>0</v>
      </c>
      <c r="F300" s="3">
        <v>0</v>
      </c>
      <c r="G300" s="54">
        <f t="shared" si="47"/>
        <v>0</v>
      </c>
      <c r="H300" s="62">
        <f t="shared" ref="H300:H302" si="57">+G300*1.06</f>
        <v>0</v>
      </c>
      <c r="I300" s="3">
        <f t="shared" ref="I300:I302" si="58">+H300*1.055</f>
        <v>0</v>
      </c>
      <c r="J300" s="18">
        <f t="shared" ref="J300:J302" si="59">+I300*1.053</f>
        <v>0</v>
      </c>
    </row>
    <row r="301" spans="1:10" x14ac:dyDescent="0.35">
      <c r="B301" s="32" t="s">
        <v>2543</v>
      </c>
      <c r="C301" s="5" t="s">
        <v>426</v>
      </c>
      <c r="D301" s="5" t="s">
        <v>30</v>
      </c>
      <c r="E301" s="3">
        <v>0</v>
      </c>
      <c r="F301" s="3">
        <v>0</v>
      </c>
      <c r="G301" s="54">
        <f t="shared" si="47"/>
        <v>0</v>
      </c>
      <c r="H301" s="62">
        <f t="shared" si="57"/>
        <v>0</v>
      </c>
      <c r="I301" s="3">
        <f t="shared" si="58"/>
        <v>0</v>
      </c>
      <c r="J301" s="18">
        <f t="shared" si="59"/>
        <v>0</v>
      </c>
    </row>
    <row r="302" spans="1:10" x14ac:dyDescent="0.35">
      <c r="B302" s="32" t="s">
        <v>2543</v>
      </c>
      <c r="C302" s="5" t="s">
        <v>427</v>
      </c>
      <c r="D302" s="5" t="s">
        <v>32</v>
      </c>
      <c r="E302" s="3">
        <v>0</v>
      </c>
      <c r="F302" s="3">
        <v>0</v>
      </c>
      <c r="G302" s="54">
        <f t="shared" si="47"/>
        <v>0</v>
      </c>
      <c r="H302" s="62">
        <f t="shared" si="57"/>
        <v>0</v>
      </c>
      <c r="I302" s="3">
        <f t="shared" si="58"/>
        <v>0</v>
      </c>
      <c r="J302" s="18">
        <f t="shared" si="59"/>
        <v>0</v>
      </c>
    </row>
    <row r="303" spans="1:10" s="8" customFormat="1" x14ac:dyDescent="0.35">
      <c r="B303" s="33" t="s">
        <v>2545</v>
      </c>
      <c r="C303" s="5"/>
      <c r="D303" s="5"/>
      <c r="E303" s="10">
        <f>SUM(E299:E302)</f>
        <v>-275000</v>
      </c>
      <c r="F303" s="10">
        <f t="shared" ref="F303:J303" si="60">SUM(F299:F302)</f>
        <v>-216169.75</v>
      </c>
      <c r="G303" s="59">
        <f t="shared" si="60"/>
        <v>-370576.71428571432</v>
      </c>
      <c r="H303" s="63">
        <f t="shared" si="60"/>
        <v>-392811.31714285718</v>
      </c>
      <c r="I303" s="10">
        <f t="shared" si="60"/>
        <v>-414415.93958571431</v>
      </c>
      <c r="J303" s="22">
        <f t="shared" si="60"/>
        <v>-436379.98438375717</v>
      </c>
    </row>
    <row r="304" spans="1:10" s="8" customFormat="1" x14ac:dyDescent="0.35">
      <c r="B304" s="23"/>
      <c r="E304" s="9"/>
      <c r="F304" s="9"/>
      <c r="G304" s="9"/>
      <c r="H304" s="64"/>
      <c r="I304" s="9"/>
      <c r="J304" s="21"/>
    </row>
    <row r="305" spans="2:16" x14ac:dyDescent="0.35">
      <c r="B305" s="32" t="s">
        <v>2544</v>
      </c>
      <c r="C305" s="5" t="s">
        <v>437</v>
      </c>
      <c r="D305" s="5" t="s">
        <v>66</v>
      </c>
      <c r="E305" s="3">
        <v>0</v>
      </c>
      <c r="F305" s="3">
        <v>0</v>
      </c>
      <c r="G305" s="54">
        <f t="shared" ref="G305:G320" si="61">+F305/7*12</f>
        <v>0</v>
      </c>
      <c r="H305" s="62">
        <f>+G305*1.06</f>
        <v>0</v>
      </c>
      <c r="I305" s="3">
        <f t="shared" ref="I305:I320" si="62">+H305*1.055</f>
        <v>0</v>
      </c>
      <c r="J305" s="18">
        <f t="shared" ref="J305:J320" si="63">+I305*1.053</f>
        <v>0</v>
      </c>
    </row>
    <row r="306" spans="2:16" x14ac:dyDescent="0.35">
      <c r="B306" s="32" t="s">
        <v>2544</v>
      </c>
      <c r="C306" s="5" t="s">
        <v>433</v>
      </c>
      <c r="D306" s="5" t="s">
        <v>46</v>
      </c>
      <c r="E306" s="3">
        <v>0</v>
      </c>
      <c r="F306" s="3">
        <v>47.46</v>
      </c>
      <c r="G306" s="54">
        <f t="shared" si="61"/>
        <v>81.36</v>
      </c>
      <c r="H306" s="62">
        <f>+G306*1.058</f>
        <v>86.078879999999998</v>
      </c>
      <c r="I306" s="3">
        <f t="shared" si="62"/>
        <v>90.813218399999997</v>
      </c>
      <c r="J306" s="18">
        <f t="shared" si="63"/>
        <v>95.626318975199993</v>
      </c>
    </row>
    <row r="307" spans="2:16" x14ac:dyDescent="0.35">
      <c r="B307" s="32" t="s">
        <v>2544</v>
      </c>
      <c r="C307" s="5" t="s">
        <v>429</v>
      </c>
      <c r="D307" s="5" t="s">
        <v>36</v>
      </c>
      <c r="E307" s="3">
        <v>0</v>
      </c>
      <c r="F307" s="3">
        <v>6035.96</v>
      </c>
      <c r="G307" s="54">
        <f t="shared" si="61"/>
        <v>10347.36</v>
      </c>
      <c r="H307" s="62">
        <f>+G307*1.058</f>
        <v>10947.506880000001</v>
      </c>
      <c r="I307" s="3">
        <f t="shared" si="62"/>
        <v>11549.6197584</v>
      </c>
      <c r="J307" s="18">
        <f t="shared" si="63"/>
        <v>12161.7496055952</v>
      </c>
    </row>
    <row r="308" spans="2:16" x14ac:dyDescent="0.35">
      <c r="B308" s="32" t="s">
        <v>2544</v>
      </c>
      <c r="C308" s="5" t="s">
        <v>444</v>
      </c>
      <c r="D308" s="5" t="s">
        <v>124</v>
      </c>
      <c r="E308" s="3">
        <v>0</v>
      </c>
      <c r="F308" s="3">
        <v>0</v>
      </c>
      <c r="G308" s="54">
        <f t="shared" si="61"/>
        <v>0</v>
      </c>
      <c r="H308" s="62">
        <f>+G308*1.06</f>
        <v>0</v>
      </c>
      <c r="I308" s="3">
        <f t="shared" si="62"/>
        <v>0</v>
      </c>
      <c r="J308" s="18">
        <f t="shared" si="63"/>
        <v>0</v>
      </c>
    </row>
    <row r="309" spans="2:16" x14ac:dyDescent="0.35">
      <c r="B309" s="32" t="s">
        <v>2544</v>
      </c>
      <c r="C309" s="5" t="s">
        <v>436</v>
      </c>
      <c r="D309" s="5" t="s">
        <v>64</v>
      </c>
      <c r="E309" s="3">
        <v>0</v>
      </c>
      <c r="F309" s="3">
        <v>0</v>
      </c>
      <c r="G309" s="54">
        <f t="shared" si="61"/>
        <v>0</v>
      </c>
      <c r="H309" s="62">
        <f>+G309*1.06</f>
        <v>0</v>
      </c>
      <c r="I309" s="3">
        <f t="shared" si="62"/>
        <v>0</v>
      </c>
      <c r="J309" s="18">
        <f t="shared" si="63"/>
        <v>0</v>
      </c>
    </row>
    <row r="310" spans="2:16" x14ac:dyDescent="0.35">
      <c r="B310" s="32" t="s">
        <v>2544</v>
      </c>
      <c r="C310" s="5" t="s">
        <v>438</v>
      </c>
      <c r="D310" s="5" t="s">
        <v>68</v>
      </c>
      <c r="E310" s="3">
        <v>0</v>
      </c>
      <c r="F310" s="3">
        <v>0</v>
      </c>
      <c r="G310" s="54">
        <f t="shared" si="61"/>
        <v>0</v>
      </c>
      <c r="H310" s="62">
        <f>+G310*1.06</f>
        <v>0</v>
      </c>
      <c r="I310" s="3">
        <f t="shared" si="62"/>
        <v>0</v>
      </c>
      <c r="J310" s="18">
        <f t="shared" si="63"/>
        <v>0</v>
      </c>
      <c r="N310" s="74"/>
    </row>
    <row r="311" spans="2:16" x14ac:dyDescent="0.35">
      <c r="B311" s="32" t="s">
        <v>2544</v>
      </c>
      <c r="C311" s="5" t="s">
        <v>435</v>
      </c>
      <c r="D311" s="5" t="s">
        <v>52</v>
      </c>
      <c r="E311" s="3">
        <v>0</v>
      </c>
      <c r="F311" s="3">
        <v>0</v>
      </c>
      <c r="G311" s="54">
        <f t="shared" si="61"/>
        <v>0</v>
      </c>
      <c r="H311" s="62">
        <f>+G311*1.058</f>
        <v>0</v>
      </c>
      <c r="I311" s="3">
        <f t="shared" si="62"/>
        <v>0</v>
      </c>
      <c r="J311" s="18">
        <f t="shared" si="63"/>
        <v>0</v>
      </c>
    </row>
    <row r="312" spans="2:16" x14ac:dyDescent="0.35">
      <c r="B312" s="32" t="s">
        <v>2544</v>
      </c>
      <c r="C312" s="5" t="s">
        <v>442</v>
      </c>
      <c r="D312" s="5" t="s">
        <v>120</v>
      </c>
      <c r="E312" s="3">
        <v>0</v>
      </c>
      <c r="F312" s="3">
        <v>0</v>
      </c>
      <c r="G312" s="54">
        <f t="shared" si="61"/>
        <v>0</v>
      </c>
      <c r="H312" s="62">
        <f>+G312*1.06</f>
        <v>0</v>
      </c>
      <c r="I312" s="3">
        <f t="shared" si="62"/>
        <v>0</v>
      </c>
      <c r="J312" s="18">
        <f t="shared" si="63"/>
        <v>0</v>
      </c>
    </row>
    <row r="313" spans="2:16" x14ac:dyDescent="0.35">
      <c r="B313" s="32" t="s">
        <v>2544</v>
      </c>
      <c r="C313" s="5" t="s">
        <v>441</v>
      </c>
      <c r="D313" s="5" t="s">
        <v>417</v>
      </c>
      <c r="E313" s="3">
        <v>50000</v>
      </c>
      <c r="F313" s="3">
        <v>7220.13</v>
      </c>
      <c r="G313" s="54">
        <f t="shared" si="61"/>
        <v>12377.365714285714</v>
      </c>
      <c r="H313" s="75">
        <v>20000</v>
      </c>
      <c r="I313" s="3">
        <f t="shared" si="62"/>
        <v>21100</v>
      </c>
      <c r="J313" s="18">
        <f t="shared" si="63"/>
        <v>22218.3</v>
      </c>
    </row>
    <row r="314" spans="2:16" x14ac:dyDescent="0.35">
      <c r="B314" s="32" t="s">
        <v>2544</v>
      </c>
      <c r="C314" s="5" t="s">
        <v>443</v>
      </c>
      <c r="D314" s="5" t="s">
        <v>368</v>
      </c>
      <c r="E314" s="3">
        <v>2000</v>
      </c>
      <c r="F314" s="3">
        <v>0</v>
      </c>
      <c r="G314" s="54">
        <f t="shared" si="61"/>
        <v>0</v>
      </c>
      <c r="H314" s="62">
        <f>+G314*1.06</f>
        <v>0</v>
      </c>
      <c r="I314" s="3">
        <f t="shared" si="62"/>
        <v>0</v>
      </c>
      <c r="J314" s="18">
        <f t="shared" si="63"/>
        <v>0</v>
      </c>
    </row>
    <row r="315" spans="2:16" x14ac:dyDescent="0.35">
      <c r="B315" s="32" t="s">
        <v>2544</v>
      </c>
      <c r="C315" s="5" t="s">
        <v>439</v>
      </c>
      <c r="D315" s="5" t="s">
        <v>440</v>
      </c>
      <c r="E315" s="3">
        <v>0</v>
      </c>
      <c r="F315" s="3">
        <v>0</v>
      </c>
      <c r="G315" s="54">
        <f t="shared" si="61"/>
        <v>0</v>
      </c>
      <c r="H315" s="62">
        <f>+G315*1.06</f>
        <v>0</v>
      </c>
      <c r="I315" s="3">
        <f t="shared" si="62"/>
        <v>0</v>
      </c>
      <c r="J315" s="18">
        <f t="shared" si="63"/>
        <v>0</v>
      </c>
    </row>
    <row r="316" spans="2:16" x14ac:dyDescent="0.35">
      <c r="B316" s="32" t="s">
        <v>2544</v>
      </c>
      <c r="C316" s="5" t="s">
        <v>430</v>
      </c>
      <c r="D316" s="5" t="s">
        <v>38</v>
      </c>
      <c r="E316" s="3">
        <v>0</v>
      </c>
      <c r="F316" s="3">
        <v>1258.48</v>
      </c>
      <c r="G316" s="54">
        <f t="shared" si="61"/>
        <v>2157.3942857142856</v>
      </c>
      <c r="H316" s="62">
        <f>+G316*1.058</f>
        <v>2282.5231542857141</v>
      </c>
      <c r="I316" s="3">
        <f t="shared" si="62"/>
        <v>2408.0619277714281</v>
      </c>
      <c r="J316" s="18">
        <f t="shared" si="63"/>
        <v>2535.6892099433135</v>
      </c>
      <c r="P316" t="s">
        <v>2623</v>
      </c>
    </row>
    <row r="317" spans="2:16" x14ac:dyDescent="0.35">
      <c r="B317" s="32" t="s">
        <v>2544</v>
      </c>
      <c r="C317" s="5" t="s">
        <v>431</v>
      </c>
      <c r="D317" s="5" t="s">
        <v>42</v>
      </c>
      <c r="E317" s="3">
        <v>0</v>
      </c>
      <c r="F317" s="3">
        <v>8779.89</v>
      </c>
      <c r="G317" s="54">
        <f t="shared" si="61"/>
        <v>15051.24</v>
      </c>
      <c r="H317" s="62">
        <f>+G317*1.058</f>
        <v>15924.21192</v>
      </c>
      <c r="I317" s="3">
        <f t="shared" si="62"/>
        <v>16800.043575599997</v>
      </c>
      <c r="J317" s="18">
        <f t="shared" si="63"/>
        <v>17690.445885106798</v>
      </c>
    </row>
    <row r="318" spans="2:16" x14ac:dyDescent="0.35">
      <c r="B318" s="32" t="s">
        <v>2544</v>
      </c>
      <c r="C318" s="5" t="s">
        <v>428</v>
      </c>
      <c r="D318" s="5" t="s">
        <v>34</v>
      </c>
      <c r="E318" s="3">
        <v>0</v>
      </c>
      <c r="F318" s="3">
        <f>42251.72-294.25</f>
        <v>41957.47</v>
      </c>
      <c r="G318" s="54">
        <f t="shared" si="61"/>
        <v>71927.091428571439</v>
      </c>
      <c r="H318" s="62">
        <f>+G318*1.058</f>
        <v>76098.862731428584</v>
      </c>
      <c r="I318" s="3">
        <f t="shared" si="62"/>
        <v>80284.300181657149</v>
      </c>
      <c r="J318" s="18">
        <f t="shared" si="63"/>
        <v>84539.368091284967</v>
      </c>
      <c r="O318" t="s">
        <v>2624</v>
      </c>
    </row>
    <row r="319" spans="2:16" x14ac:dyDescent="0.35">
      <c r="B319" s="32" t="s">
        <v>2544</v>
      </c>
      <c r="C319" s="5" t="s">
        <v>434</v>
      </c>
      <c r="D319" s="5" t="s">
        <v>50</v>
      </c>
      <c r="E319" s="3">
        <v>0</v>
      </c>
      <c r="F319" s="3">
        <v>437.02</v>
      </c>
      <c r="G319" s="54">
        <f t="shared" si="61"/>
        <v>749.17714285714283</v>
      </c>
      <c r="H319" s="62">
        <f>+G319*1.058</f>
        <v>792.62941714285716</v>
      </c>
      <c r="I319" s="3">
        <f t="shared" si="62"/>
        <v>836.22403508571426</v>
      </c>
      <c r="J319" s="18">
        <f t="shared" si="63"/>
        <v>880.54390894525704</v>
      </c>
      <c r="O319" t="s">
        <v>2625</v>
      </c>
    </row>
    <row r="320" spans="2:16" x14ac:dyDescent="0.35">
      <c r="B320" s="32" t="s">
        <v>2544</v>
      </c>
      <c r="C320" s="5" t="s">
        <v>432</v>
      </c>
      <c r="D320" s="5" t="s">
        <v>44</v>
      </c>
      <c r="E320" s="3">
        <v>0</v>
      </c>
      <c r="F320" s="3">
        <v>468.5</v>
      </c>
      <c r="G320" s="54">
        <f t="shared" si="61"/>
        <v>803.14285714285711</v>
      </c>
      <c r="H320" s="62">
        <f>+G320*1.058</f>
        <v>849.72514285714283</v>
      </c>
      <c r="I320" s="3">
        <f t="shared" si="62"/>
        <v>896.46002571428562</v>
      </c>
      <c r="J320" s="18">
        <f t="shared" si="63"/>
        <v>943.97240707714275</v>
      </c>
    </row>
    <row r="321" spans="1:10" s="8" customFormat="1" x14ac:dyDescent="0.35">
      <c r="B321" s="33" t="s">
        <v>2546</v>
      </c>
      <c r="C321" s="5"/>
      <c r="D321" s="5"/>
      <c r="E321" s="10">
        <f>SUM(E305:E320)</f>
        <v>52000</v>
      </c>
      <c r="F321" s="10">
        <f t="shared" ref="F321:J321" si="64">SUM(F305:F320)</f>
        <v>66204.91</v>
      </c>
      <c r="G321" s="59">
        <f t="shared" si="64"/>
        <v>113494.13142857143</v>
      </c>
      <c r="H321" s="63">
        <f t="shared" si="64"/>
        <v>126981.53812571432</v>
      </c>
      <c r="I321" s="10">
        <f t="shared" si="64"/>
        <v>133965.52272262855</v>
      </c>
      <c r="J321" s="22">
        <f t="shared" si="64"/>
        <v>141065.69542692788</v>
      </c>
    </row>
    <row r="322" spans="1:10" s="8" customFormat="1" ht="11.25" customHeight="1" x14ac:dyDescent="0.35">
      <c r="B322" s="23"/>
      <c r="E322" s="39"/>
      <c r="F322" s="39"/>
      <c r="G322" s="39"/>
      <c r="H322" s="68"/>
      <c r="I322" s="39"/>
      <c r="J322" s="40"/>
    </row>
    <row r="323" spans="1:10" s="8" customFormat="1" ht="15" thickBot="1" x14ac:dyDescent="0.4">
      <c r="B323" s="35" t="s">
        <v>2548</v>
      </c>
      <c r="C323" s="25"/>
      <c r="D323" s="25"/>
      <c r="E323" s="26">
        <f>+E303+E321</f>
        <v>-223000</v>
      </c>
      <c r="F323" s="26">
        <f t="shared" ref="F323:J323" si="65">+F303+F321</f>
        <v>-149964.84</v>
      </c>
      <c r="G323" s="60">
        <f t="shared" si="65"/>
        <v>-257082.5828571429</v>
      </c>
      <c r="H323" s="65">
        <f t="shared" si="65"/>
        <v>-265829.77901714284</v>
      </c>
      <c r="I323" s="26">
        <f t="shared" si="65"/>
        <v>-280450.41686308576</v>
      </c>
      <c r="J323" s="27">
        <f t="shared" si="65"/>
        <v>-295314.28895682929</v>
      </c>
    </row>
    <row r="324" spans="1:10" s="8" customFormat="1" x14ac:dyDescent="0.35">
      <c r="E324" s="9"/>
      <c r="F324" s="9"/>
      <c r="G324" s="9"/>
      <c r="H324" s="9"/>
      <c r="I324" s="9"/>
      <c r="J324" s="9"/>
    </row>
    <row r="325" spans="1:10" s="8" customFormat="1" x14ac:dyDescent="0.35">
      <c r="E325" s="9"/>
      <c r="F325" s="9"/>
      <c r="G325" s="9"/>
      <c r="H325" s="9"/>
      <c r="I325" s="9"/>
      <c r="J325" s="9"/>
    </row>
    <row r="326" spans="1:10" s="8" customFormat="1" ht="15" thickBot="1" x14ac:dyDescent="0.4">
      <c r="A326" s="12" t="s">
        <v>2589</v>
      </c>
      <c r="B326" s="12" t="s">
        <v>2555</v>
      </c>
      <c r="E326" s="9"/>
      <c r="F326" s="9"/>
      <c r="G326" s="9"/>
      <c r="H326" s="9"/>
      <c r="I326" s="9"/>
      <c r="J326" s="9"/>
    </row>
    <row r="327" spans="1:10" x14ac:dyDescent="0.35">
      <c r="B327" s="41" t="s">
        <v>2543</v>
      </c>
      <c r="C327" s="14" t="s">
        <v>445</v>
      </c>
      <c r="D327" s="14" t="s">
        <v>446</v>
      </c>
      <c r="E327" s="15">
        <v>-160500</v>
      </c>
      <c r="F327" s="15">
        <v>-107680.93</v>
      </c>
      <c r="G327" s="58">
        <f t="shared" ref="G327:G390" si="66">+F327/7*12</f>
        <v>-184595.88</v>
      </c>
      <c r="H327" s="76">
        <v>-195000</v>
      </c>
      <c r="I327" s="15">
        <f>+H327*1.055</f>
        <v>-205725</v>
      </c>
      <c r="J327" s="16">
        <f>+I327*1.053</f>
        <v>-216628.42499999999</v>
      </c>
    </row>
    <row r="328" spans="1:10" x14ac:dyDescent="0.35">
      <c r="B328" s="42" t="s">
        <v>2543</v>
      </c>
      <c r="C328" s="5" t="s">
        <v>447</v>
      </c>
      <c r="D328" s="5" t="s">
        <v>448</v>
      </c>
      <c r="E328" s="3">
        <v>-2000</v>
      </c>
      <c r="F328" s="3">
        <v>-374</v>
      </c>
      <c r="G328" s="54">
        <f t="shared" si="66"/>
        <v>-641.14285714285711</v>
      </c>
      <c r="H328" s="75">
        <v>-700</v>
      </c>
      <c r="I328" s="3">
        <f t="shared" ref="I328:I331" si="67">+H328*1.055</f>
        <v>-738.5</v>
      </c>
      <c r="J328" s="18">
        <f t="shared" ref="J328:J331" si="68">+I328*1.053</f>
        <v>-777.64049999999997</v>
      </c>
    </row>
    <row r="329" spans="1:10" x14ac:dyDescent="0.35">
      <c r="B329" s="42" t="s">
        <v>2543</v>
      </c>
      <c r="C329" s="5" t="s">
        <v>449</v>
      </c>
      <c r="D329" s="5" t="s">
        <v>126</v>
      </c>
      <c r="E329" s="3">
        <v>0</v>
      </c>
      <c r="F329" s="3">
        <v>-285</v>
      </c>
      <c r="G329" s="54">
        <f t="shared" si="66"/>
        <v>-488.57142857142856</v>
      </c>
      <c r="H329" s="62">
        <v>0</v>
      </c>
      <c r="I329" s="3">
        <f t="shared" si="67"/>
        <v>0</v>
      </c>
      <c r="J329" s="18">
        <f t="shared" si="68"/>
        <v>0</v>
      </c>
    </row>
    <row r="330" spans="1:10" x14ac:dyDescent="0.35">
      <c r="B330" s="42" t="s">
        <v>2543</v>
      </c>
      <c r="C330" s="5" t="s">
        <v>450</v>
      </c>
      <c r="D330" s="5" t="s">
        <v>30</v>
      </c>
      <c r="E330" s="3">
        <v>0</v>
      </c>
      <c r="F330" s="3">
        <v>0</v>
      </c>
      <c r="G330" s="54">
        <f t="shared" si="66"/>
        <v>0</v>
      </c>
      <c r="H330" s="62">
        <f t="shared" ref="H330:H331" si="69">+G330*1.06</f>
        <v>0</v>
      </c>
      <c r="I330" s="3">
        <f t="shared" si="67"/>
        <v>0</v>
      </c>
      <c r="J330" s="18">
        <f t="shared" si="68"/>
        <v>0</v>
      </c>
    </row>
    <row r="331" spans="1:10" x14ac:dyDescent="0.35">
      <c r="B331" s="42" t="s">
        <v>2543</v>
      </c>
      <c r="C331" s="5" t="s">
        <v>451</v>
      </c>
      <c r="D331" s="5" t="s">
        <v>32</v>
      </c>
      <c r="E331" s="3">
        <v>0</v>
      </c>
      <c r="F331" s="3">
        <v>0</v>
      </c>
      <c r="G331" s="54">
        <f t="shared" si="66"/>
        <v>0</v>
      </c>
      <c r="H331" s="62">
        <f t="shared" si="69"/>
        <v>0</v>
      </c>
      <c r="I331" s="3">
        <f t="shared" si="67"/>
        <v>0</v>
      </c>
      <c r="J331" s="18">
        <f t="shared" si="68"/>
        <v>0</v>
      </c>
    </row>
    <row r="332" spans="1:10" s="8" customFormat="1" x14ac:dyDescent="0.35">
      <c r="B332" s="33" t="s">
        <v>2545</v>
      </c>
      <c r="C332" s="5"/>
      <c r="D332" s="5"/>
      <c r="E332" s="10">
        <f>SUM(E327:E331)</f>
        <v>-162500</v>
      </c>
      <c r="F332" s="10">
        <f t="shared" ref="F332:J332" si="70">SUM(F327:F331)</f>
        <v>-108339.93</v>
      </c>
      <c r="G332" s="59">
        <f t="shared" si="70"/>
        <v>-185725.59428571429</v>
      </c>
      <c r="H332" s="63">
        <f t="shared" si="70"/>
        <v>-195700</v>
      </c>
      <c r="I332" s="10">
        <f t="shared" si="70"/>
        <v>-206463.5</v>
      </c>
      <c r="J332" s="22">
        <f t="shared" si="70"/>
        <v>-217406.0655</v>
      </c>
    </row>
    <row r="333" spans="1:10" s="8" customFormat="1" x14ac:dyDescent="0.35">
      <c r="B333" s="23"/>
      <c r="E333" s="9"/>
      <c r="F333" s="9"/>
      <c r="G333" s="9"/>
      <c r="H333" s="64"/>
      <c r="I333" s="9"/>
      <c r="J333" s="21"/>
    </row>
    <row r="334" spans="1:10" x14ac:dyDescent="0.35">
      <c r="B334" s="32" t="s">
        <v>2544</v>
      </c>
      <c r="C334" s="5" t="s">
        <v>456</v>
      </c>
      <c r="D334" s="5" t="s">
        <v>66</v>
      </c>
      <c r="E334" s="3">
        <v>0</v>
      </c>
      <c r="F334" s="3">
        <v>0</v>
      </c>
      <c r="G334" s="54">
        <f t="shared" ref="G334:G349" si="71">+F334/7*12</f>
        <v>0</v>
      </c>
      <c r="H334" s="62">
        <f>+G334*1.06</f>
        <v>0</v>
      </c>
      <c r="I334" s="3">
        <f t="shared" ref="I334:I349" si="72">+H334*1.055</f>
        <v>0</v>
      </c>
      <c r="J334" s="18">
        <f t="shared" ref="J334:J349" si="73">+I334*1.053</f>
        <v>0</v>
      </c>
    </row>
    <row r="335" spans="1:10" x14ac:dyDescent="0.35">
      <c r="B335" s="32" t="s">
        <v>2544</v>
      </c>
      <c r="C335" s="5" t="s">
        <v>458</v>
      </c>
      <c r="D335" s="5" t="s">
        <v>459</v>
      </c>
      <c r="E335" s="3">
        <v>15000</v>
      </c>
      <c r="F335" s="3">
        <f>12211.94-1066.44</f>
        <v>11145.5</v>
      </c>
      <c r="G335" s="54">
        <f t="shared" si="71"/>
        <v>19106.571428571428</v>
      </c>
      <c r="H335" s="75">
        <v>20000</v>
      </c>
      <c r="I335" s="3">
        <f t="shared" si="72"/>
        <v>21100</v>
      </c>
      <c r="J335" s="18">
        <f t="shared" si="73"/>
        <v>22218.3</v>
      </c>
    </row>
    <row r="336" spans="1:10" x14ac:dyDescent="0.35">
      <c r="B336" s="32" t="s">
        <v>2544</v>
      </c>
      <c r="C336" s="5" t="s">
        <v>469</v>
      </c>
      <c r="D336" s="5" t="s">
        <v>124</v>
      </c>
      <c r="E336" s="3">
        <v>0</v>
      </c>
      <c r="F336" s="3">
        <v>0</v>
      </c>
      <c r="G336" s="54">
        <f t="shared" si="71"/>
        <v>0</v>
      </c>
      <c r="H336" s="62">
        <f>+G336*1.06</f>
        <v>0</v>
      </c>
      <c r="I336" s="3">
        <f t="shared" si="72"/>
        <v>0</v>
      </c>
      <c r="J336" s="18">
        <f t="shared" si="73"/>
        <v>0</v>
      </c>
    </row>
    <row r="337" spans="2:10" x14ac:dyDescent="0.35">
      <c r="B337" s="32" t="s">
        <v>2544</v>
      </c>
      <c r="C337" s="5" t="s">
        <v>455</v>
      </c>
      <c r="D337" s="5" t="s">
        <v>64</v>
      </c>
      <c r="E337" s="3">
        <v>492000</v>
      </c>
      <c r="F337" s="3">
        <v>0</v>
      </c>
      <c r="G337" s="54">
        <f t="shared" si="71"/>
        <v>0</v>
      </c>
      <c r="H337" s="62">
        <f>+G337*1.06</f>
        <v>0</v>
      </c>
      <c r="I337" s="3">
        <f t="shared" si="72"/>
        <v>0</v>
      </c>
      <c r="J337" s="18">
        <f t="shared" si="73"/>
        <v>0</v>
      </c>
    </row>
    <row r="338" spans="2:10" x14ac:dyDescent="0.35">
      <c r="B338" s="32" t="s">
        <v>2544</v>
      </c>
      <c r="C338" s="5" t="s">
        <v>457</v>
      </c>
      <c r="D338" s="5" t="s">
        <v>68</v>
      </c>
      <c r="E338" s="3">
        <v>0</v>
      </c>
      <c r="F338" s="3">
        <v>0</v>
      </c>
      <c r="G338" s="54">
        <f t="shared" si="71"/>
        <v>0</v>
      </c>
      <c r="H338" s="62">
        <f>+G338*1.06</f>
        <v>0</v>
      </c>
      <c r="I338" s="3">
        <f t="shared" si="72"/>
        <v>0</v>
      </c>
      <c r="J338" s="18">
        <f t="shared" si="73"/>
        <v>0</v>
      </c>
    </row>
    <row r="339" spans="2:10" x14ac:dyDescent="0.35">
      <c r="B339" s="32" t="s">
        <v>2544</v>
      </c>
      <c r="C339" s="5" t="s">
        <v>461</v>
      </c>
      <c r="D339" s="5" t="s">
        <v>240</v>
      </c>
      <c r="E339" s="3">
        <v>0</v>
      </c>
      <c r="F339" s="3">
        <v>0</v>
      </c>
      <c r="G339" s="54">
        <f t="shared" si="71"/>
        <v>0</v>
      </c>
      <c r="H339" s="62">
        <f>+G339*1.06</f>
        <v>0</v>
      </c>
      <c r="I339" s="3">
        <f t="shared" si="72"/>
        <v>0</v>
      </c>
      <c r="J339" s="18">
        <f t="shared" si="73"/>
        <v>0</v>
      </c>
    </row>
    <row r="340" spans="2:10" x14ac:dyDescent="0.35">
      <c r="B340" s="32" t="s">
        <v>2544</v>
      </c>
      <c r="C340" s="5" t="s">
        <v>460</v>
      </c>
      <c r="D340" s="5" t="s">
        <v>238</v>
      </c>
      <c r="E340" s="3">
        <v>0</v>
      </c>
      <c r="F340" s="3">
        <v>0</v>
      </c>
      <c r="G340" s="54">
        <f t="shared" si="71"/>
        <v>0</v>
      </c>
      <c r="H340" s="62">
        <f>+G340*1.06</f>
        <v>0</v>
      </c>
      <c r="I340" s="3">
        <f t="shared" si="72"/>
        <v>0</v>
      </c>
      <c r="J340" s="18">
        <f t="shared" si="73"/>
        <v>0</v>
      </c>
    </row>
    <row r="341" spans="2:10" x14ac:dyDescent="0.35">
      <c r="B341" s="32" t="s">
        <v>2544</v>
      </c>
      <c r="C341" s="5" t="s">
        <v>454</v>
      </c>
      <c r="D341" s="5" t="s">
        <v>52</v>
      </c>
      <c r="E341" s="3">
        <v>0</v>
      </c>
      <c r="F341" s="3">
        <v>0</v>
      </c>
      <c r="G341" s="54">
        <f t="shared" si="71"/>
        <v>0</v>
      </c>
      <c r="H341" s="62">
        <f>+G341*1.058</f>
        <v>0</v>
      </c>
      <c r="I341" s="3">
        <f t="shared" si="72"/>
        <v>0</v>
      </c>
      <c r="J341" s="18">
        <f t="shared" si="73"/>
        <v>0</v>
      </c>
    </row>
    <row r="342" spans="2:10" x14ac:dyDescent="0.35">
      <c r="B342" s="32" t="s">
        <v>2544</v>
      </c>
      <c r="C342" s="5" t="s">
        <v>466</v>
      </c>
      <c r="D342" s="5" t="s">
        <v>120</v>
      </c>
      <c r="E342" s="3">
        <v>0</v>
      </c>
      <c r="F342" s="3">
        <v>0</v>
      </c>
      <c r="G342" s="54">
        <f t="shared" si="71"/>
        <v>0</v>
      </c>
      <c r="H342" s="62">
        <f>+G342*1.06</f>
        <v>0</v>
      </c>
      <c r="I342" s="3">
        <f t="shared" si="72"/>
        <v>0</v>
      </c>
      <c r="J342" s="18">
        <f t="shared" si="73"/>
        <v>0</v>
      </c>
    </row>
    <row r="343" spans="2:10" x14ac:dyDescent="0.35">
      <c r="B343" s="32" t="s">
        <v>2544</v>
      </c>
      <c r="C343" s="5" t="s">
        <v>463</v>
      </c>
      <c r="D343" s="5" t="s">
        <v>417</v>
      </c>
      <c r="E343" s="3">
        <v>20000</v>
      </c>
      <c r="F343" s="3">
        <f>153205.69-160.12</f>
        <v>153045.57</v>
      </c>
      <c r="G343" s="54">
        <f t="shared" si="71"/>
        <v>262363.83428571431</v>
      </c>
      <c r="H343" s="75">
        <v>210000</v>
      </c>
      <c r="I343" s="3">
        <f t="shared" si="72"/>
        <v>221550</v>
      </c>
      <c r="J343" s="18">
        <f t="shared" si="73"/>
        <v>233292.15</v>
      </c>
    </row>
    <row r="344" spans="2:10" x14ac:dyDescent="0.35">
      <c r="B344" s="32" t="s">
        <v>2544</v>
      </c>
      <c r="C344" s="5" t="s">
        <v>462</v>
      </c>
      <c r="D344" s="5" t="s">
        <v>242</v>
      </c>
      <c r="E344" s="3">
        <v>0</v>
      </c>
      <c r="F344" s="3">
        <v>0</v>
      </c>
      <c r="G344" s="54">
        <f t="shared" si="71"/>
        <v>0</v>
      </c>
      <c r="H344" s="62">
        <f>+G344*1.06</f>
        <v>0</v>
      </c>
      <c r="I344" s="3">
        <f t="shared" si="72"/>
        <v>0</v>
      </c>
      <c r="J344" s="18">
        <f t="shared" si="73"/>
        <v>0</v>
      </c>
    </row>
    <row r="345" spans="2:10" x14ac:dyDescent="0.35">
      <c r="B345" s="32" t="s">
        <v>2544</v>
      </c>
      <c r="C345" s="5" t="s">
        <v>468</v>
      </c>
      <c r="D345" s="5" t="s">
        <v>368</v>
      </c>
      <c r="E345" s="3">
        <v>0</v>
      </c>
      <c r="F345" s="3">
        <v>0</v>
      </c>
      <c r="G345" s="54">
        <f t="shared" si="71"/>
        <v>0</v>
      </c>
      <c r="H345" s="62">
        <f>+G345*1.06</f>
        <v>0</v>
      </c>
      <c r="I345" s="3">
        <f t="shared" si="72"/>
        <v>0</v>
      </c>
      <c r="J345" s="18">
        <f t="shared" si="73"/>
        <v>0</v>
      </c>
    </row>
    <row r="346" spans="2:10" x14ac:dyDescent="0.35">
      <c r="B346" s="32" t="s">
        <v>2544</v>
      </c>
      <c r="C346" s="5" t="s">
        <v>467</v>
      </c>
      <c r="D346" s="5" t="s">
        <v>420</v>
      </c>
      <c r="E346" s="3">
        <v>0</v>
      </c>
      <c r="F346" s="3">
        <v>0</v>
      </c>
      <c r="G346" s="54">
        <f t="shared" si="71"/>
        <v>0</v>
      </c>
      <c r="H346" s="62">
        <f>+G346*1.06</f>
        <v>0</v>
      </c>
      <c r="I346" s="3">
        <f t="shared" si="72"/>
        <v>0</v>
      </c>
      <c r="J346" s="18">
        <f t="shared" si="73"/>
        <v>0</v>
      </c>
    </row>
    <row r="347" spans="2:10" x14ac:dyDescent="0.35">
      <c r="B347" s="32" t="s">
        <v>2544</v>
      </c>
      <c r="C347" s="5" t="s">
        <v>453</v>
      </c>
      <c r="D347" s="5" t="s">
        <v>38</v>
      </c>
      <c r="E347" s="3">
        <v>0</v>
      </c>
      <c r="F347" s="3">
        <v>0</v>
      </c>
      <c r="G347" s="54">
        <f t="shared" si="71"/>
        <v>0</v>
      </c>
      <c r="H347" s="62">
        <f>+G347*1.058</f>
        <v>0</v>
      </c>
      <c r="I347" s="3">
        <f t="shared" si="72"/>
        <v>0</v>
      </c>
      <c r="J347" s="18">
        <f t="shared" si="73"/>
        <v>0</v>
      </c>
    </row>
    <row r="348" spans="2:10" x14ac:dyDescent="0.35">
      <c r="B348" s="32" t="s">
        <v>2544</v>
      </c>
      <c r="C348" s="5" t="s">
        <v>464</v>
      </c>
      <c r="D348" s="5" t="s">
        <v>465</v>
      </c>
      <c r="E348" s="3">
        <v>0</v>
      </c>
      <c r="F348" s="3">
        <v>0</v>
      </c>
      <c r="G348" s="54">
        <f t="shared" si="71"/>
        <v>0</v>
      </c>
      <c r="H348" s="62">
        <f>+G348*1.06</f>
        <v>0</v>
      </c>
      <c r="I348" s="3">
        <f t="shared" si="72"/>
        <v>0</v>
      </c>
      <c r="J348" s="18">
        <f t="shared" si="73"/>
        <v>0</v>
      </c>
    </row>
    <row r="349" spans="2:10" x14ac:dyDescent="0.35">
      <c r="B349" s="32" t="s">
        <v>2544</v>
      </c>
      <c r="C349" s="5" t="s">
        <v>452</v>
      </c>
      <c r="D349" s="5" t="s">
        <v>34</v>
      </c>
      <c r="E349" s="3">
        <v>0</v>
      </c>
      <c r="F349" s="3">
        <v>0</v>
      </c>
      <c r="G349" s="54">
        <f t="shared" si="71"/>
        <v>0</v>
      </c>
      <c r="H349" s="62">
        <f>+G349*1.058</f>
        <v>0</v>
      </c>
      <c r="I349" s="3">
        <f t="shared" si="72"/>
        <v>0</v>
      </c>
      <c r="J349" s="18">
        <f t="shared" si="73"/>
        <v>0</v>
      </c>
    </row>
    <row r="350" spans="2:10" s="8" customFormat="1" x14ac:dyDescent="0.35">
      <c r="B350" s="33" t="s">
        <v>2546</v>
      </c>
      <c r="C350" s="5"/>
      <c r="D350" s="5"/>
      <c r="E350" s="10">
        <f>SUM(E334:E349)</f>
        <v>527000</v>
      </c>
      <c r="F350" s="10">
        <f t="shared" ref="F350:J350" si="74">SUM(F334:F349)</f>
        <v>164191.07</v>
      </c>
      <c r="G350" s="59">
        <f t="shared" si="74"/>
        <v>281470.40571428573</v>
      </c>
      <c r="H350" s="63">
        <f t="shared" si="74"/>
        <v>230000</v>
      </c>
      <c r="I350" s="10">
        <f t="shared" si="74"/>
        <v>242650</v>
      </c>
      <c r="J350" s="22">
        <f t="shared" si="74"/>
        <v>255510.44999999998</v>
      </c>
    </row>
    <row r="351" spans="2:10" s="8" customFormat="1" ht="8.25" customHeight="1" x14ac:dyDescent="0.35">
      <c r="B351" s="23"/>
      <c r="E351" s="39"/>
      <c r="F351" s="39"/>
      <c r="G351" s="39"/>
      <c r="H351" s="68"/>
      <c r="I351" s="39"/>
      <c r="J351" s="40"/>
    </row>
    <row r="352" spans="2:10" s="8" customFormat="1" ht="15" thickBot="1" x14ac:dyDescent="0.4">
      <c r="B352" s="35" t="s">
        <v>2548</v>
      </c>
      <c r="C352" s="25"/>
      <c r="D352" s="25"/>
      <c r="E352" s="26">
        <f>+E332+E350</f>
        <v>364500</v>
      </c>
      <c r="F352" s="26">
        <f t="shared" ref="F352:J352" si="75">+F332+F350</f>
        <v>55851.140000000014</v>
      </c>
      <c r="G352" s="60">
        <f t="shared" si="75"/>
        <v>95744.81142857144</v>
      </c>
      <c r="H352" s="65">
        <f t="shared" si="75"/>
        <v>34300</v>
      </c>
      <c r="I352" s="26">
        <f t="shared" si="75"/>
        <v>36186.5</v>
      </c>
      <c r="J352" s="27">
        <f t="shared" si="75"/>
        <v>38104.384499999986</v>
      </c>
    </row>
    <row r="353" spans="1:10" s="8" customFormat="1" x14ac:dyDescent="0.35">
      <c r="E353" s="9"/>
      <c r="F353" s="9"/>
      <c r="G353" s="9"/>
      <c r="H353" s="9"/>
      <c r="I353" s="9"/>
      <c r="J353" s="9"/>
    </row>
    <row r="354" spans="1:10" s="8" customFormat="1" x14ac:dyDescent="0.35">
      <c r="E354" s="9"/>
      <c r="F354" s="9"/>
      <c r="G354" s="9"/>
      <c r="H354" s="9"/>
      <c r="I354" s="9"/>
      <c r="J354" s="9"/>
    </row>
    <row r="355" spans="1:10" s="8" customFormat="1" ht="15" thickBot="1" x14ac:dyDescent="0.4">
      <c r="A355" s="12" t="s">
        <v>2589</v>
      </c>
      <c r="B355" s="12" t="s">
        <v>2557</v>
      </c>
      <c r="E355" s="9"/>
      <c r="F355" s="9"/>
      <c r="G355" s="9"/>
      <c r="H355" s="9"/>
      <c r="I355" s="9"/>
      <c r="J355" s="9"/>
    </row>
    <row r="356" spans="1:10" x14ac:dyDescent="0.35">
      <c r="B356" s="31" t="s">
        <v>2543</v>
      </c>
      <c r="C356" s="14" t="s">
        <v>485</v>
      </c>
      <c r="D356" s="14" t="s">
        <v>126</v>
      </c>
      <c r="E356" s="15">
        <v>0</v>
      </c>
      <c r="F356" s="15">
        <v>0</v>
      </c>
      <c r="G356" s="58">
        <f t="shared" si="66"/>
        <v>0</v>
      </c>
      <c r="H356" s="61">
        <f>+G356*1.06</f>
        <v>0</v>
      </c>
      <c r="I356" s="15">
        <f>+H356*1.055</f>
        <v>0</v>
      </c>
      <c r="J356" s="16">
        <f>+I356*1.053</f>
        <v>0</v>
      </c>
    </row>
    <row r="357" spans="1:10" x14ac:dyDescent="0.35">
      <c r="B357" s="32" t="s">
        <v>2543</v>
      </c>
      <c r="C357" s="5" t="s">
        <v>486</v>
      </c>
      <c r="D357" s="5" t="s">
        <v>22</v>
      </c>
      <c r="E357" s="3">
        <v>-5500</v>
      </c>
      <c r="F357" s="3">
        <v>-4302</v>
      </c>
      <c r="G357" s="54">
        <f t="shared" si="66"/>
        <v>-7374.8571428571431</v>
      </c>
      <c r="H357" s="75">
        <v>-8000</v>
      </c>
      <c r="I357" s="3">
        <f t="shared" ref="I357:I359" si="76">+H357*1.055</f>
        <v>-8440</v>
      </c>
      <c r="J357" s="18">
        <f t="shared" ref="J357:J359" si="77">+I357*1.053</f>
        <v>-8887.32</v>
      </c>
    </row>
    <row r="358" spans="1:10" x14ac:dyDescent="0.35">
      <c r="B358" s="32" t="s">
        <v>2543</v>
      </c>
      <c r="C358" s="5" t="s">
        <v>487</v>
      </c>
      <c r="D358" s="5" t="s">
        <v>30</v>
      </c>
      <c r="E358" s="3">
        <v>0</v>
      </c>
      <c r="F358" s="3">
        <v>0</v>
      </c>
      <c r="G358" s="54">
        <f t="shared" si="66"/>
        <v>0</v>
      </c>
      <c r="H358" s="62">
        <f t="shared" ref="H358:H359" si="78">+G358*1.06</f>
        <v>0</v>
      </c>
      <c r="I358" s="3">
        <f t="shared" si="76"/>
        <v>0</v>
      </c>
      <c r="J358" s="18">
        <f t="shared" si="77"/>
        <v>0</v>
      </c>
    </row>
    <row r="359" spans="1:10" x14ac:dyDescent="0.35">
      <c r="B359" s="32" t="s">
        <v>2543</v>
      </c>
      <c r="C359" s="5" t="s">
        <v>488</v>
      </c>
      <c r="D359" s="5" t="s">
        <v>32</v>
      </c>
      <c r="E359" s="3">
        <v>0</v>
      </c>
      <c r="F359" s="3">
        <v>0</v>
      </c>
      <c r="G359" s="54">
        <f t="shared" si="66"/>
        <v>0</v>
      </c>
      <c r="H359" s="62">
        <f t="shared" si="78"/>
        <v>0</v>
      </c>
      <c r="I359" s="3">
        <f t="shared" si="76"/>
        <v>0</v>
      </c>
      <c r="J359" s="18">
        <f t="shared" si="77"/>
        <v>0</v>
      </c>
    </row>
    <row r="360" spans="1:10" s="8" customFormat="1" x14ac:dyDescent="0.35">
      <c r="B360" s="33" t="s">
        <v>2545</v>
      </c>
      <c r="C360" s="5"/>
      <c r="D360" s="5"/>
      <c r="E360" s="10">
        <f>SUM(E356:E359)</f>
        <v>-5500</v>
      </c>
      <c r="F360" s="10">
        <f t="shared" ref="F360:J360" si="79">SUM(F356:F359)</f>
        <v>-4302</v>
      </c>
      <c r="G360" s="59">
        <f t="shared" si="79"/>
        <v>-7374.8571428571431</v>
      </c>
      <c r="H360" s="63">
        <f t="shared" si="79"/>
        <v>-8000</v>
      </c>
      <c r="I360" s="10">
        <f t="shared" si="79"/>
        <v>-8440</v>
      </c>
      <c r="J360" s="22">
        <f t="shared" si="79"/>
        <v>-8887.32</v>
      </c>
    </row>
    <row r="361" spans="1:10" s="8" customFormat="1" x14ac:dyDescent="0.35">
      <c r="B361" s="23"/>
      <c r="E361" s="9"/>
      <c r="F361" s="9"/>
      <c r="G361" s="9"/>
      <c r="H361" s="64"/>
      <c r="I361" s="9"/>
      <c r="J361" s="21"/>
    </row>
    <row r="362" spans="1:10" x14ac:dyDescent="0.35">
      <c r="B362" s="32" t="s">
        <v>2544</v>
      </c>
      <c r="C362" s="5" t="s">
        <v>489</v>
      </c>
      <c r="D362" s="5" t="s">
        <v>34</v>
      </c>
      <c r="E362" s="3">
        <v>0</v>
      </c>
      <c r="F362" s="3">
        <v>48037.14</v>
      </c>
      <c r="G362" s="54">
        <f t="shared" si="66"/>
        <v>82349.38285714286</v>
      </c>
      <c r="H362" s="62">
        <f>+G362*1.058</f>
        <v>87125.647062857155</v>
      </c>
      <c r="I362" s="3">
        <f>+H362*1.055</f>
        <v>91917.557651314288</v>
      </c>
      <c r="J362" s="18">
        <f>+I362*1.053</f>
        <v>96789.188206833933</v>
      </c>
    </row>
    <row r="363" spans="1:10" x14ac:dyDescent="0.35">
      <c r="B363" s="32" t="s">
        <v>2544</v>
      </c>
      <c r="C363" s="5" t="s">
        <v>490</v>
      </c>
      <c r="D363" s="5" t="s">
        <v>36</v>
      </c>
      <c r="E363" s="3">
        <v>0</v>
      </c>
      <c r="F363" s="3">
        <v>7306.41</v>
      </c>
      <c r="G363" s="54">
        <f t="shared" si="66"/>
        <v>12525.274285714288</v>
      </c>
      <c r="H363" s="62">
        <f t="shared" ref="H363:H370" si="80">+G363*1.058</f>
        <v>13251.740194285718</v>
      </c>
      <c r="I363" s="3">
        <f t="shared" ref="I363:I383" si="81">+H363*1.055</f>
        <v>13980.585904971431</v>
      </c>
      <c r="J363" s="18">
        <f t="shared" ref="J363:J383" si="82">+I363*1.053</f>
        <v>14721.556957934916</v>
      </c>
    </row>
    <row r="364" spans="1:10" x14ac:dyDescent="0.35">
      <c r="B364" s="32" t="s">
        <v>2544</v>
      </c>
      <c r="C364" s="5" t="s">
        <v>491</v>
      </c>
      <c r="D364" s="5" t="s">
        <v>38</v>
      </c>
      <c r="E364" s="3">
        <v>0</v>
      </c>
      <c r="F364" s="3">
        <v>0</v>
      </c>
      <c r="G364" s="54">
        <f t="shared" si="66"/>
        <v>0</v>
      </c>
      <c r="H364" s="62">
        <f t="shared" si="80"/>
        <v>0</v>
      </c>
      <c r="I364" s="3">
        <f t="shared" si="81"/>
        <v>0</v>
      </c>
      <c r="J364" s="18">
        <f t="shared" si="82"/>
        <v>0</v>
      </c>
    </row>
    <row r="365" spans="1:10" x14ac:dyDescent="0.35">
      <c r="B365" s="32" t="s">
        <v>2544</v>
      </c>
      <c r="C365" s="5" t="s">
        <v>492</v>
      </c>
      <c r="D365" s="5" t="s">
        <v>40</v>
      </c>
      <c r="E365" s="3">
        <v>0</v>
      </c>
      <c r="F365" s="3">
        <v>0</v>
      </c>
      <c r="G365" s="54">
        <f t="shared" si="66"/>
        <v>0</v>
      </c>
      <c r="H365" s="62">
        <f t="shared" si="80"/>
        <v>0</v>
      </c>
      <c r="I365" s="3">
        <f t="shared" si="81"/>
        <v>0</v>
      </c>
      <c r="J365" s="18">
        <f t="shared" si="82"/>
        <v>0</v>
      </c>
    </row>
    <row r="366" spans="1:10" x14ac:dyDescent="0.35">
      <c r="B366" s="32" t="s">
        <v>2544</v>
      </c>
      <c r="C366" s="5" t="s">
        <v>493</v>
      </c>
      <c r="D366" s="5" t="s">
        <v>42</v>
      </c>
      <c r="E366" s="3">
        <v>0</v>
      </c>
      <c r="F366" s="3">
        <v>8573.11</v>
      </c>
      <c r="G366" s="54">
        <f t="shared" si="66"/>
        <v>14696.76</v>
      </c>
      <c r="H366" s="62">
        <f t="shared" si="80"/>
        <v>15549.17208</v>
      </c>
      <c r="I366" s="3">
        <f t="shared" si="81"/>
        <v>16404.376544399998</v>
      </c>
      <c r="J366" s="18">
        <f t="shared" si="82"/>
        <v>17273.808501253196</v>
      </c>
    </row>
    <row r="367" spans="1:10" x14ac:dyDescent="0.35">
      <c r="B367" s="32" t="s">
        <v>2544</v>
      </c>
      <c r="C367" s="5" t="s">
        <v>494</v>
      </c>
      <c r="D367" s="5" t="s">
        <v>44</v>
      </c>
      <c r="E367" s="3">
        <v>0</v>
      </c>
      <c r="F367" s="3">
        <v>477.83</v>
      </c>
      <c r="G367" s="54">
        <f t="shared" si="66"/>
        <v>819.13714285714286</v>
      </c>
      <c r="H367" s="62">
        <f t="shared" si="80"/>
        <v>866.64709714285721</v>
      </c>
      <c r="I367" s="3">
        <f t="shared" si="81"/>
        <v>914.31268748571426</v>
      </c>
      <c r="J367" s="18">
        <f t="shared" si="82"/>
        <v>962.77125992245703</v>
      </c>
    </row>
    <row r="368" spans="1:10" x14ac:dyDescent="0.35">
      <c r="B368" s="32" t="s">
        <v>2544</v>
      </c>
      <c r="C368" s="5" t="s">
        <v>495</v>
      </c>
      <c r="D368" s="5" t="s">
        <v>46</v>
      </c>
      <c r="E368" s="3">
        <v>0</v>
      </c>
      <c r="F368" s="3">
        <v>47.46</v>
      </c>
      <c r="G368" s="54">
        <f t="shared" si="66"/>
        <v>81.36</v>
      </c>
      <c r="H368" s="62">
        <f t="shared" si="80"/>
        <v>86.078879999999998</v>
      </c>
      <c r="I368" s="3">
        <f t="shared" si="81"/>
        <v>90.813218399999997</v>
      </c>
      <c r="J368" s="18">
        <f t="shared" si="82"/>
        <v>95.626318975199993</v>
      </c>
    </row>
    <row r="369" spans="2:10" x14ac:dyDescent="0.35">
      <c r="B369" s="32" t="s">
        <v>2544</v>
      </c>
      <c r="C369" s="5" t="s">
        <v>496</v>
      </c>
      <c r="D369" s="5" t="s">
        <v>50</v>
      </c>
      <c r="E369" s="3">
        <v>0</v>
      </c>
      <c r="F369" s="3">
        <v>417.13</v>
      </c>
      <c r="G369" s="54">
        <f t="shared" si="66"/>
        <v>715.07999999999993</v>
      </c>
      <c r="H369" s="62">
        <f t="shared" si="80"/>
        <v>756.55463999999995</v>
      </c>
      <c r="I369" s="3">
        <f t="shared" si="81"/>
        <v>798.16514519999987</v>
      </c>
      <c r="J369" s="18">
        <f t="shared" si="82"/>
        <v>840.46789789559978</v>
      </c>
    </row>
    <row r="370" spans="2:10" x14ac:dyDescent="0.35">
      <c r="B370" s="32" t="s">
        <v>2544</v>
      </c>
      <c r="C370" s="5" t="s">
        <v>497</v>
      </c>
      <c r="D370" s="5" t="s">
        <v>52</v>
      </c>
      <c r="E370" s="3">
        <v>0</v>
      </c>
      <c r="F370" s="3">
        <v>1971.6</v>
      </c>
      <c r="G370" s="54">
        <f t="shared" si="66"/>
        <v>3379.8857142857141</v>
      </c>
      <c r="H370" s="62">
        <f t="shared" si="80"/>
        <v>3575.9190857142858</v>
      </c>
      <c r="I370" s="3">
        <f t="shared" si="81"/>
        <v>3772.5946354285711</v>
      </c>
      <c r="J370" s="18">
        <f t="shared" si="82"/>
        <v>3972.542151106285</v>
      </c>
    </row>
    <row r="371" spans="2:10" x14ac:dyDescent="0.35">
      <c r="B371" s="32" t="s">
        <v>2544</v>
      </c>
      <c r="C371" s="5" t="s">
        <v>498</v>
      </c>
      <c r="D371" s="5" t="s">
        <v>64</v>
      </c>
      <c r="E371" s="3">
        <v>0</v>
      </c>
      <c r="F371" s="3">
        <v>0</v>
      </c>
      <c r="G371" s="54">
        <f t="shared" si="66"/>
        <v>0</v>
      </c>
      <c r="H371" s="62">
        <f>+G371*1.06</f>
        <v>0</v>
      </c>
      <c r="I371" s="3">
        <f t="shared" si="81"/>
        <v>0</v>
      </c>
      <c r="J371" s="18">
        <f t="shared" si="82"/>
        <v>0</v>
      </c>
    </row>
    <row r="372" spans="2:10" x14ac:dyDescent="0.35">
      <c r="B372" s="32" t="s">
        <v>2544</v>
      </c>
      <c r="C372" s="5" t="s">
        <v>499</v>
      </c>
      <c r="D372" s="5" t="s">
        <v>66</v>
      </c>
      <c r="E372" s="3">
        <v>0</v>
      </c>
      <c r="F372" s="3">
        <v>0</v>
      </c>
      <c r="G372" s="54">
        <f t="shared" si="66"/>
        <v>0</v>
      </c>
      <c r="H372" s="62">
        <f t="shared" ref="H372:H383" si="83">+G372*1.06</f>
        <v>0</v>
      </c>
      <c r="I372" s="3">
        <f t="shared" si="81"/>
        <v>0</v>
      </c>
      <c r="J372" s="18">
        <f t="shared" si="82"/>
        <v>0</v>
      </c>
    </row>
    <row r="373" spans="2:10" x14ac:dyDescent="0.35">
      <c r="B373" s="32" t="s">
        <v>2544</v>
      </c>
      <c r="C373" s="5" t="s">
        <v>500</v>
      </c>
      <c r="D373" s="5" t="s">
        <v>68</v>
      </c>
      <c r="E373" s="3">
        <v>0</v>
      </c>
      <c r="F373" s="3">
        <v>0</v>
      </c>
      <c r="G373" s="54">
        <f t="shared" si="66"/>
        <v>0</v>
      </c>
      <c r="H373" s="62">
        <f t="shared" si="83"/>
        <v>0</v>
      </c>
      <c r="I373" s="3">
        <f t="shared" si="81"/>
        <v>0</v>
      </c>
      <c r="J373" s="18">
        <f t="shared" si="82"/>
        <v>0</v>
      </c>
    </row>
    <row r="374" spans="2:10" x14ac:dyDescent="0.35">
      <c r="B374" s="32" t="s">
        <v>2544</v>
      </c>
      <c r="C374" s="5" t="s">
        <v>501</v>
      </c>
      <c r="D374" s="5" t="s">
        <v>90</v>
      </c>
      <c r="E374" s="3">
        <v>6000</v>
      </c>
      <c r="F374" s="3">
        <v>6000</v>
      </c>
      <c r="G374" s="54">
        <f t="shared" si="66"/>
        <v>10285.714285714286</v>
      </c>
      <c r="H374" s="62">
        <f t="shared" si="83"/>
        <v>10902.857142857143</v>
      </c>
      <c r="I374" s="3">
        <f t="shared" si="81"/>
        <v>11502.514285714286</v>
      </c>
      <c r="J374" s="18">
        <f t="shared" si="82"/>
        <v>12112.147542857141</v>
      </c>
    </row>
    <row r="375" spans="2:10" x14ac:dyDescent="0.35">
      <c r="B375" s="32"/>
      <c r="C375" s="5"/>
      <c r="D375" s="5" t="s">
        <v>2648</v>
      </c>
      <c r="E375" s="3"/>
      <c r="F375" s="3"/>
      <c r="G375" s="54"/>
      <c r="H375" s="75">
        <v>2000</v>
      </c>
      <c r="I375" s="3"/>
      <c r="J375" s="18"/>
    </row>
    <row r="376" spans="2:10" x14ac:dyDescent="0.35">
      <c r="B376" s="32" t="s">
        <v>2544</v>
      </c>
      <c r="C376" s="5" t="s">
        <v>502</v>
      </c>
      <c r="D376" s="5" t="s">
        <v>440</v>
      </c>
      <c r="E376" s="3">
        <v>0</v>
      </c>
      <c r="F376" s="3">
        <v>0</v>
      </c>
      <c r="G376" s="54">
        <f t="shared" si="66"/>
        <v>0</v>
      </c>
      <c r="H376" s="62">
        <f t="shared" si="83"/>
        <v>0</v>
      </c>
      <c r="I376" s="3">
        <f t="shared" si="81"/>
        <v>0</v>
      </c>
      <c r="J376" s="18">
        <f t="shared" si="82"/>
        <v>0</v>
      </c>
    </row>
    <row r="377" spans="2:10" x14ac:dyDescent="0.35">
      <c r="B377" s="32" t="s">
        <v>2544</v>
      </c>
      <c r="C377" s="5" t="s">
        <v>503</v>
      </c>
      <c r="D377" s="5" t="s">
        <v>504</v>
      </c>
      <c r="E377" s="3">
        <v>0</v>
      </c>
      <c r="F377" s="3">
        <v>0</v>
      </c>
      <c r="G377" s="54">
        <f t="shared" si="66"/>
        <v>0</v>
      </c>
      <c r="H377" s="62">
        <f t="shared" si="83"/>
        <v>0</v>
      </c>
      <c r="I377" s="3">
        <f t="shared" si="81"/>
        <v>0</v>
      </c>
      <c r="J377" s="18">
        <f t="shared" si="82"/>
        <v>0</v>
      </c>
    </row>
    <row r="378" spans="2:10" x14ac:dyDescent="0.35">
      <c r="B378" s="32" t="s">
        <v>2544</v>
      </c>
      <c r="C378" s="5" t="s">
        <v>505</v>
      </c>
      <c r="D378" s="5" t="s">
        <v>506</v>
      </c>
      <c r="E378" s="3">
        <v>0</v>
      </c>
      <c r="F378" s="3">
        <v>0</v>
      </c>
      <c r="G378" s="54">
        <f t="shared" si="66"/>
        <v>0</v>
      </c>
      <c r="H378" s="62">
        <f t="shared" si="83"/>
        <v>0</v>
      </c>
      <c r="I378" s="3">
        <f t="shared" si="81"/>
        <v>0</v>
      </c>
      <c r="J378" s="18">
        <f t="shared" si="82"/>
        <v>0</v>
      </c>
    </row>
    <row r="379" spans="2:10" x14ac:dyDescent="0.35">
      <c r="B379" s="32" t="s">
        <v>2544</v>
      </c>
      <c r="C379" s="5" t="s">
        <v>507</v>
      </c>
      <c r="D379" s="5" t="s">
        <v>242</v>
      </c>
      <c r="E379" s="3">
        <v>0</v>
      </c>
      <c r="F379" s="3">
        <v>0</v>
      </c>
      <c r="G379" s="54">
        <f t="shared" si="66"/>
        <v>0</v>
      </c>
      <c r="H379" s="62">
        <f t="shared" si="83"/>
        <v>0</v>
      </c>
      <c r="I379" s="3">
        <f t="shared" si="81"/>
        <v>0</v>
      </c>
      <c r="J379" s="18">
        <f t="shared" si="82"/>
        <v>0</v>
      </c>
    </row>
    <row r="380" spans="2:10" x14ac:dyDescent="0.35">
      <c r="B380" s="32" t="s">
        <v>2544</v>
      </c>
      <c r="C380" s="5" t="s">
        <v>508</v>
      </c>
      <c r="D380" s="5" t="s">
        <v>2642</v>
      </c>
      <c r="E380" s="3">
        <v>1500</v>
      </c>
      <c r="F380" s="3">
        <v>7747.37</v>
      </c>
      <c r="G380" s="54">
        <f t="shared" si="66"/>
        <v>13281.205714285712</v>
      </c>
      <c r="H380" s="75">
        <v>5000</v>
      </c>
      <c r="I380" s="3">
        <f t="shared" si="81"/>
        <v>5275</v>
      </c>
      <c r="J380" s="18">
        <f t="shared" si="82"/>
        <v>5554.5749999999998</v>
      </c>
    </row>
    <row r="381" spans="2:10" x14ac:dyDescent="0.35">
      <c r="B381" s="32" t="s">
        <v>2544</v>
      </c>
      <c r="C381" s="5" t="s">
        <v>509</v>
      </c>
      <c r="D381" s="5" t="s">
        <v>120</v>
      </c>
      <c r="E381" s="3">
        <v>0</v>
      </c>
      <c r="F381" s="3">
        <v>0</v>
      </c>
      <c r="G381" s="54">
        <f t="shared" si="66"/>
        <v>0</v>
      </c>
      <c r="H381" s="62">
        <f t="shared" si="83"/>
        <v>0</v>
      </c>
      <c r="I381" s="3">
        <f t="shared" si="81"/>
        <v>0</v>
      </c>
      <c r="J381" s="18">
        <f t="shared" si="82"/>
        <v>0</v>
      </c>
    </row>
    <row r="382" spans="2:10" x14ac:dyDescent="0.35">
      <c r="B382" s="32" t="s">
        <v>2544</v>
      </c>
      <c r="C382" s="5" t="s">
        <v>510</v>
      </c>
      <c r="D382" s="5" t="s">
        <v>368</v>
      </c>
      <c r="E382" s="3">
        <v>0</v>
      </c>
      <c r="F382" s="3">
        <v>0</v>
      </c>
      <c r="G382" s="54">
        <f t="shared" si="66"/>
        <v>0</v>
      </c>
      <c r="H382" s="62">
        <f t="shared" si="83"/>
        <v>0</v>
      </c>
      <c r="I382" s="3">
        <f t="shared" si="81"/>
        <v>0</v>
      </c>
      <c r="J382" s="18">
        <f t="shared" si="82"/>
        <v>0</v>
      </c>
    </row>
    <row r="383" spans="2:10" x14ac:dyDescent="0.35">
      <c r="B383" s="32" t="s">
        <v>2544</v>
      </c>
      <c r="C383" s="5" t="s">
        <v>511</v>
      </c>
      <c r="D383" s="5" t="s">
        <v>124</v>
      </c>
      <c r="E383" s="3">
        <v>0</v>
      </c>
      <c r="F383" s="3">
        <v>0</v>
      </c>
      <c r="G383" s="54">
        <f t="shared" si="66"/>
        <v>0</v>
      </c>
      <c r="H383" s="62">
        <f t="shared" si="83"/>
        <v>0</v>
      </c>
      <c r="I383" s="3">
        <f t="shared" si="81"/>
        <v>0</v>
      </c>
      <c r="J383" s="18">
        <f t="shared" si="82"/>
        <v>0</v>
      </c>
    </row>
    <row r="384" spans="2:10" s="8" customFormat="1" x14ac:dyDescent="0.35">
      <c r="B384" s="33" t="s">
        <v>2546</v>
      </c>
      <c r="C384" s="5"/>
      <c r="D384" s="5"/>
      <c r="E384" s="10">
        <f>SUM(E362:E383)</f>
        <v>7500</v>
      </c>
      <c r="F384" s="10">
        <f t="shared" ref="F384:J384" si="84">SUM(F362:F383)</f>
        <v>80578.05</v>
      </c>
      <c r="G384" s="59">
        <f t="shared" si="84"/>
        <v>138133.80000000002</v>
      </c>
      <c r="H384" s="63">
        <f t="shared" si="84"/>
        <v>139114.61618285716</v>
      </c>
      <c r="I384" s="10">
        <f t="shared" si="84"/>
        <v>144655.92007291428</v>
      </c>
      <c r="J384" s="22">
        <f t="shared" si="84"/>
        <v>152322.68383677871</v>
      </c>
    </row>
    <row r="385" spans="1:10" s="8" customFormat="1" ht="8.25" customHeight="1" x14ac:dyDescent="0.35">
      <c r="B385" s="23"/>
      <c r="E385" s="39"/>
      <c r="F385" s="39"/>
      <c r="G385" s="39"/>
      <c r="H385" s="68"/>
      <c r="I385" s="39"/>
      <c r="J385" s="40"/>
    </row>
    <row r="386" spans="1:10" s="8" customFormat="1" ht="15" thickBot="1" x14ac:dyDescent="0.4">
      <c r="B386" s="35" t="s">
        <v>2548</v>
      </c>
      <c r="C386" s="25"/>
      <c r="D386" s="25"/>
      <c r="E386" s="26">
        <f>+E360+E384</f>
        <v>2000</v>
      </c>
      <c r="F386" s="26">
        <f t="shared" ref="F386:J386" si="85">+F360+F384</f>
        <v>76276.05</v>
      </c>
      <c r="G386" s="60">
        <f t="shared" si="85"/>
        <v>130758.94285714287</v>
      </c>
      <c r="H386" s="65">
        <f t="shared" si="85"/>
        <v>131114.61618285716</v>
      </c>
      <c r="I386" s="26">
        <f t="shared" si="85"/>
        <v>136215.92007291428</v>
      </c>
      <c r="J386" s="27">
        <f t="shared" si="85"/>
        <v>143435.36383677871</v>
      </c>
    </row>
    <row r="387" spans="1:10" s="8" customFormat="1" x14ac:dyDescent="0.35">
      <c r="E387" s="9"/>
      <c r="F387" s="9"/>
      <c r="G387" s="9"/>
      <c r="H387" s="9"/>
      <c r="I387" s="9"/>
      <c r="J387" s="9"/>
    </row>
    <row r="388" spans="1:10" s="8" customFormat="1" x14ac:dyDescent="0.35">
      <c r="E388" s="9"/>
      <c r="F388" s="9"/>
      <c r="G388" s="9"/>
      <c r="H388" s="9"/>
      <c r="I388" s="9"/>
      <c r="J388" s="9"/>
    </row>
    <row r="389" spans="1:10" s="8" customFormat="1" ht="15" thickBot="1" x14ac:dyDescent="0.4">
      <c r="A389" s="12" t="s">
        <v>2593</v>
      </c>
      <c r="B389" s="12" t="s">
        <v>2558</v>
      </c>
      <c r="E389" s="9"/>
      <c r="F389" s="9"/>
      <c r="G389" s="9"/>
      <c r="H389" s="9"/>
      <c r="I389" s="9"/>
      <c r="J389" s="9"/>
    </row>
    <row r="390" spans="1:10" x14ac:dyDescent="0.35">
      <c r="B390" s="41" t="s">
        <v>2543</v>
      </c>
      <c r="C390" s="14" t="s">
        <v>512</v>
      </c>
      <c r="D390" s="14" t="s">
        <v>513</v>
      </c>
      <c r="E390" s="15">
        <v>-4000</v>
      </c>
      <c r="F390" s="15">
        <v>-1983.9</v>
      </c>
      <c r="G390" s="58">
        <f t="shared" si="66"/>
        <v>-3400.9714285714285</v>
      </c>
      <c r="H390" s="77">
        <v>-4000</v>
      </c>
      <c r="I390" s="15">
        <f>+H390*1.055</f>
        <v>-4220</v>
      </c>
      <c r="J390" s="16">
        <f>+I390*1.053</f>
        <v>-4443.66</v>
      </c>
    </row>
    <row r="391" spans="1:10" x14ac:dyDescent="0.35">
      <c r="B391" s="42" t="s">
        <v>2543</v>
      </c>
      <c r="C391" s="5" t="s">
        <v>514</v>
      </c>
      <c r="D391" s="5" t="s">
        <v>515</v>
      </c>
      <c r="E391" s="3">
        <v>0</v>
      </c>
      <c r="F391" s="3">
        <v>0</v>
      </c>
      <c r="G391" s="54">
        <f t="shared" ref="G391:G441" si="86">+F391/7*12</f>
        <v>0</v>
      </c>
      <c r="H391" s="62">
        <f t="shared" ref="H391:H395" si="87">+G391*1.06</f>
        <v>0</v>
      </c>
      <c r="I391" s="3">
        <f t="shared" ref="I391:I395" si="88">+H391*1.055</f>
        <v>0</v>
      </c>
      <c r="J391" s="18">
        <f t="shared" ref="J391:J395" si="89">+I391*1.053</f>
        <v>0</v>
      </c>
    </row>
    <row r="392" spans="1:10" x14ac:dyDescent="0.35">
      <c r="B392" s="42" t="s">
        <v>2543</v>
      </c>
      <c r="C392" s="5" t="s">
        <v>516</v>
      </c>
      <c r="D392" s="5" t="s">
        <v>126</v>
      </c>
      <c r="E392" s="3">
        <v>0</v>
      </c>
      <c r="F392" s="3">
        <v>0</v>
      </c>
      <c r="G392" s="54">
        <f t="shared" si="86"/>
        <v>0</v>
      </c>
      <c r="H392" s="62">
        <f t="shared" si="87"/>
        <v>0</v>
      </c>
      <c r="I392" s="3">
        <f t="shared" si="88"/>
        <v>0</v>
      </c>
      <c r="J392" s="18">
        <f t="shared" si="89"/>
        <v>0</v>
      </c>
    </row>
    <row r="393" spans="1:10" x14ac:dyDescent="0.35">
      <c r="B393" s="42" t="s">
        <v>2543</v>
      </c>
      <c r="C393" s="5" t="s">
        <v>517</v>
      </c>
      <c r="D393" s="5" t="s">
        <v>518</v>
      </c>
      <c r="E393" s="3">
        <v>-20000</v>
      </c>
      <c r="F393" s="3">
        <v>-19569.3</v>
      </c>
      <c r="G393" s="54">
        <f t="shared" si="86"/>
        <v>-33547.371428571423</v>
      </c>
      <c r="H393" s="62">
        <v>-18000</v>
      </c>
      <c r="I393" s="3">
        <f t="shared" si="88"/>
        <v>-18990</v>
      </c>
      <c r="J393" s="18">
        <f t="shared" si="89"/>
        <v>-19996.469999999998</v>
      </c>
    </row>
    <row r="394" spans="1:10" x14ac:dyDescent="0.35">
      <c r="B394" s="42" t="s">
        <v>2543</v>
      </c>
      <c r="C394" s="5" t="s">
        <v>519</v>
      </c>
      <c r="D394" s="5" t="s">
        <v>30</v>
      </c>
      <c r="E394" s="3">
        <v>0</v>
      </c>
      <c r="F394" s="3">
        <v>0</v>
      </c>
      <c r="G394" s="54">
        <f t="shared" si="86"/>
        <v>0</v>
      </c>
      <c r="H394" s="62">
        <f t="shared" si="87"/>
        <v>0</v>
      </c>
      <c r="I394" s="3">
        <f t="shared" si="88"/>
        <v>0</v>
      </c>
      <c r="J394" s="18">
        <f t="shared" si="89"/>
        <v>0</v>
      </c>
    </row>
    <row r="395" spans="1:10" x14ac:dyDescent="0.35">
      <c r="B395" s="42" t="s">
        <v>2543</v>
      </c>
      <c r="C395" s="5" t="s">
        <v>520</v>
      </c>
      <c r="D395" s="5" t="s">
        <v>32</v>
      </c>
      <c r="E395" s="3">
        <v>0</v>
      </c>
      <c r="F395" s="3">
        <v>0</v>
      </c>
      <c r="G395" s="54">
        <f t="shared" si="86"/>
        <v>0</v>
      </c>
      <c r="H395" s="62">
        <f t="shared" si="87"/>
        <v>0</v>
      </c>
      <c r="I395" s="3">
        <f t="shared" si="88"/>
        <v>0</v>
      </c>
      <c r="J395" s="18">
        <f t="shared" si="89"/>
        <v>0</v>
      </c>
    </row>
    <row r="396" spans="1:10" s="8" customFormat="1" x14ac:dyDescent="0.35">
      <c r="B396" s="33" t="s">
        <v>2545</v>
      </c>
      <c r="C396" s="5"/>
      <c r="D396" s="5"/>
      <c r="E396" s="10">
        <f>SUM(E390:E395)</f>
        <v>-24000</v>
      </c>
      <c r="F396" s="10">
        <f t="shared" ref="F396:J396" si="90">SUM(F390:F395)</f>
        <v>-21553.200000000001</v>
      </c>
      <c r="G396" s="59">
        <f t="shared" si="90"/>
        <v>-36948.342857142852</v>
      </c>
      <c r="H396" s="63">
        <f t="shared" si="90"/>
        <v>-22000</v>
      </c>
      <c r="I396" s="10">
        <f t="shared" si="90"/>
        <v>-23210</v>
      </c>
      <c r="J396" s="22">
        <f t="shared" si="90"/>
        <v>-24440.129999999997</v>
      </c>
    </row>
    <row r="397" spans="1:10" s="8" customFormat="1" x14ac:dyDescent="0.35">
      <c r="B397" s="23"/>
      <c r="E397" s="9"/>
      <c r="F397" s="9"/>
      <c r="G397" s="9"/>
      <c r="H397" s="64"/>
      <c r="I397" s="9"/>
      <c r="J397" s="21"/>
    </row>
    <row r="398" spans="1:10" x14ac:dyDescent="0.35">
      <c r="B398" s="32" t="s">
        <v>2544</v>
      </c>
      <c r="C398" s="5" t="s">
        <v>527</v>
      </c>
      <c r="D398" s="5" t="s">
        <v>197</v>
      </c>
      <c r="E398" s="3">
        <v>0</v>
      </c>
      <c r="F398" s="3">
        <v>0</v>
      </c>
      <c r="G398" s="54">
        <f>+F398/7*12</f>
        <v>0</v>
      </c>
      <c r="H398" s="62">
        <f>+G398*1.058</f>
        <v>0</v>
      </c>
      <c r="I398" s="3">
        <f>+H398*1.055</f>
        <v>0</v>
      </c>
      <c r="J398" s="18">
        <f>+I398*1.053</f>
        <v>0</v>
      </c>
    </row>
    <row r="399" spans="1:10" x14ac:dyDescent="0.35">
      <c r="B399" s="32" t="s">
        <v>2544</v>
      </c>
      <c r="C399" s="5" t="s">
        <v>536</v>
      </c>
      <c r="D399" s="5" t="s">
        <v>66</v>
      </c>
      <c r="E399" s="3">
        <v>0</v>
      </c>
      <c r="F399" s="3">
        <v>0</v>
      </c>
      <c r="G399" s="54">
        <f>+F399/7*12</f>
        <v>0</v>
      </c>
      <c r="H399" s="62">
        <f>+G399*1.06</f>
        <v>0</v>
      </c>
      <c r="I399" s="3">
        <f>+H399*1.055</f>
        <v>0</v>
      </c>
      <c r="J399" s="18">
        <f>+I399*1.053</f>
        <v>0</v>
      </c>
    </row>
    <row r="400" spans="1:10" x14ac:dyDescent="0.35">
      <c r="B400" s="32" t="s">
        <v>2544</v>
      </c>
      <c r="C400" s="5" t="s">
        <v>530</v>
      </c>
      <c r="D400" s="5" t="s">
        <v>46</v>
      </c>
      <c r="E400" s="3">
        <v>6419</v>
      </c>
      <c r="F400" s="3">
        <v>423.9</v>
      </c>
      <c r="G400" s="54">
        <f>+F400/7*12</f>
        <v>726.68571428571431</v>
      </c>
      <c r="H400" s="62">
        <f>+G400*1.058</f>
        <v>768.83348571428576</v>
      </c>
      <c r="I400" s="3">
        <f>+H400*1.055</f>
        <v>811.11932742857141</v>
      </c>
      <c r="J400" s="18">
        <f>+I400*1.053</f>
        <v>854.10865178228562</v>
      </c>
    </row>
    <row r="401" spans="2:10" x14ac:dyDescent="0.35">
      <c r="B401" s="32" t="s">
        <v>2544</v>
      </c>
      <c r="C401" s="5" t="s">
        <v>522</v>
      </c>
      <c r="D401" s="5" t="s">
        <v>36</v>
      </c>
      <c r="E401" s="3">
        <v>53489</v>
      </c>
      <c r="F401" s="3">
        <v>86614.52</v>
      </c>
      <c r="G401" s="54">
        <f>+F401/7*12</f>
        <v>148482.0342857143</v>
      </c>
      <c r="H401" s="62">
        <f>+G401*1.058</f>
        <v>157093.99227428573</v>
      </c>
      <c r="I401" s="3">
        <f>+H401*1.055</f>
        <v>165734.16184937145</v>
      </c>
      <c r="J401" s="18">
        <f>+I401*1.053</f>
        <v>174518.07242738814</v>
      </c>
    </row>
    <row r="402" spans="2:10" x14ac:dyDescent="0.35">
      <c r="B402" s="32" t="s">
        <v>2544</v>
      </c>
      <c r="C402" s="5"/>
      <c r="D402" s="5" t="s">
        <v>2657</v>
      </c>
      <c r="E402" s="3"/>
      <c r="F402" s="3"/>
      <c r="G402" s="54"/>
      <c r="H402" s="78">
        <v>80000</v>
      </c>
      <c r="I402" s="3"/>
      <c r="J402" s="18"/>
    </row>
    <row r="403" spans="2:10" x14ac:dyDescent="0.35">
      <c r="B403" s="32" t="s">
        <v>2544</v>
      </c>
      <c r="C403" s="5" t="s">
        <v>540</v>
      </c>
      <c r="D403" s="5" t="s">
        <v>541</v>
      </c>
      <c r="E403" s="3">
        <v>0</v>
      </c>
      <c r="F403" s="3">
        <v>0</v>
      </c>
      <c r="G403" s="54">
        <f t="shared" ref="G403:G427" si="91">+F403/7*12</f>
        <v>0</v>
      </c>
      <c r="H403" s="62">
        <f>+G403*1.06</f>
        <v>0</v>
      </c>
      <c r="I403" s="3">
        <f t="shared" ref="I403:I427" si="92">+H403*1.055</f>
        <v>0</v>
      </c>
      <c r="J403" s="18">
        <f t="shared" ref="J403:J427" si="93">+I403*1.053</f>
        <v>0</v>
      </c>
    </row>
    <row r="404" spans="2:10" x14ac:dyDescent="0.35">
      <c r="B404" s="32" t="s">
        <v>2544</v>
      </c>
      <c r="C404" s="5" t="s">
        <v>553</v>
      </c>
      <c r="D404" s="5" t="s">
        <v>124</v>
      </c>
      <c r="E404" s="3">
        <v>0</v>
      </c>
      <c r="F404" s="3">
        <v>0</v>
      </c>
      <c r="G404" s="54">
        <f t="shared" si="91"/>
        <v>0</v>
      </c>
      <c r="H404" s="62">
        <f>+G404*1.06</f>
        <v>0</v>
      </c>
      <c r="I404" s="3">
        <f t="shared" si="92"/>
        <v>0</v>
      </c>
      <c r="J404" s="18">
        <f t="shared" si="93"/>
        <v>0</v>
      </c>
    </row>
    <row r="405" spans="2:10" x14ac:dyDescent="0.35">
      <c r="B405" s="32" t="s">
        <v>2544</v>
      </c>
      <c r="C405" s="5" t="s">
        <v>535</v>
      </c>
      <c r="D405" s="5" t="s">
        <v>64</v>
      </c>
      <c r="E405" s="3">
        <v>0</v>
      </c>
      <c r="F405" s="3">
        <v>0</v>
      </c>
      <c r="G405" s="54">
        <f t="shared" si="91"/>
        <v>0</v>
      </c>
      <c r="H405" s="62">
        <f>+G405*1.06</f>
        <v>0</v>
      </c>
      <c r="I405" s="3">
        <f t="shared" si="92"/>
        <v>0</v>
      </c>
      <c r="J405" s="18">
        <f t="shared" si="93"/>
        <v>0</v>
      </c>
    </row>
    <row r="406" spans="2:10" x14ac:dyDescent="0.35">
      <c r="B406" s="32" t="s">
        <v>2544</v>
      </c>
      <c r="C406" s="5" t="s">
        <v>542</v>
      </c>
      <c r="D406" s="5" t="s">
        <v>543</v>
      </c>
      <c r="E406" s="3">
        <v>7000</v>
      </c>
      <c r="F406" s="3">
        <v>1250.74</v>
      </c>
      <c r="G406" s="54">
        <f t="shared" si="91"/>
        <v>2144.1257142857144</v>
      </c>
      <c r="H406" s="62">
        <f>+G406*1.06</f>
        <v>2272.7732571428573</v>
      </c>
      <c r="I406" s="3">
        <f t="shared" si="92"/>
        <v>2397.7757862857143</v>
      </c>
      <c r="J406" s="18">
        <f t="shared" si="93"/>
        <v>2524.8579029588568</v>
      </c>
    </row>
    <row r="407" spans="2:10" x14ac:dyDescent="0.35">
      <c r="B407" s="32" t="s">
        <v>2544</v>
      </c>
      <c r="C407" s="5" t="s">
        <v>533</v>
      </c>
      <c r="D407" s="5" t="s">
        <v>331</v>
      </c>
      <c r="E407" s="3">
        <v>2971</v>
      </c>
      <c r="F407" s="3">
        <v>0</v>
      </c>
      <c r="G407" s="54">
        <f t="shared" si="91"/>
        <v>0</v>
      </c>
      <c r="H407" s="62">
        <f>+G407*1.058</f>
        <v>0</v>
      </c>
      <c r="I407" s="3">
        <f t="shared" si="92"/>
        <v>0</v>
      </c>
      <c r="J407" s="18">
        <f t="shared" si="93"/>
        <v>0</v>
      </c>
    </row>
    <row r="408" spans="2:10" x14ac:dyDescent="0.35">
      <c r="B408" s="32" t="s">
        <v>2544</v>
      </c>
      <c r="C408" s="5" t="s">
        <v>537</v>
      </c>
      <c r="D408" s="5" t="s">
        <v>68</v>
      </c>
      <c r="E408" s="3">
        <v>0</v>
      </c>
      <c r="F408" s="3">
        <v>0</v>
      </c>
      <c r="G408" s="54">
        <f t="shared" si="91"/>
        <v>0</v>
      </c>
      <c r="H408" s="62">
        <f>+G408*1.06</f>
        <v>0</v>
      </c>
      <c r="I408" s="3">
        <f t="shared" si="92"/>
        <v>0</v>
      </c>
      <c r="J408" s="18">
        <f t="shared" si="93"/>
        <v>0</v>
      </c>
    </row>
    <row r="409" spans="2:10" x14ac:dyDescent="0.35">
      <c r="B409" s="32" t="s">
        <v>2544</v>
      </c>
      <c r="C409" s="5" t="s">
        <v>538</v>
      </c>
      <c r="D409" s="5" t="s">
        <v>90</v>
      </c>
      <c r="E409" s="3">
        <v>6000</v>
      </c>
      <c r="F409" s="3">
        <v>6000</v>
      </c>
      <c r="G409" s="54">
        <f t="shared" si="91"/>
        <v>10285.714285714286</v>
      </c>
      <c r="H409" s="62">
        <f>+G409*1.06</f>
        <v>10902.857142857143</v>
      </c>
      <c r="I409" s="3">
        <f t="shared" si="92"/>
        <v>11502.514285714286</v>
      </c>
      <c r="J409" s="18">
        <f t="shared" si="93"/>
        <v>12112.147542857141</v>
      </c>
    </row>
    <row r="410" spans="2:10" x14ac:dyDescent="0.35">
      <c r="B410" s="32" t="s">
        <v>2544</v>
      </c>
      <c r="C410" s="5" t="s">
        <v>545</v>
      </c>
      <c r="D410" s="5" t="s">
        <v>240</v>
      </c>
      <c r="E410" s="3">
        <v>0</v>
      </c>
      <c r="F410" s="3">
        <v>0</v>
      </c>
      <c r="G410" s="54">
        <f t="shared" si="91"/>
        <v>0</v>
      </c>
      <c r="H410" s="62">
        <f>+G410*1.06</f>
        <v>0</v>
      </c>
      <c r="I410" s="3">
        <f t="shared" si="92"/>
        <v>0</v>
      </c>
      <c r="J410" s="18">
        <f t="shared" si="93"/>
        <v>0</v>
      </c>
    </row>
    <row r="411" spans="2:10" x14ac:dyDescent="0.35">
      <c r="B411" s="32" t="s">
        <v>2544</v>
      </c>
      <c r="C411" s="5" t="s">
        <v>544</v>
      </c>
      <c r="D411" s="5" t="s">
        <v>238</v>
      </c>
      <c r="E411" s="3">
        <v>0</v>
      </c>
      <c r="F411" s="3">
        <v>0</v>
      </c>
      <c r="G411" s="54">
        <f t="shared" si="91"/>
        <v>0</v>
      </c>
      <c r="H411" s="62">
        <f>+G411*1.06</f>
        <v>0</v>
      </c>
      <c r="I411" s="3">
        <f t="shared" si="92"/>
        <v>0</v>
      </c>
      <c r="J411" s="18">
        <f t="shared" si="93"/>
        <v>0</v>
      </c>
    </row>
    <row r="412" spans="2:10" x14ac:dyDescent="0.35">
      <c r="B412" s="32" t="s">
        <v>2544</v>
      </c>
      <c r="C412" s="5" t="s">
        <v>534</v>
      </c>
      <c r="D412" s="5" t="s">
        <v>52</v>
      </c>
      <c r="E412" s="3">
        <v>0</v>
      </c>
      <c r="F412" s="3">
        <v>20210.46</v>
      </c>
      <c r="G412" s="54">
        <f t="shared" si="91"/>
        <v>34646.502857142856</v>
      </c>
      <c r="H412" s="62">
        <f>+G412*1.058</f>
        <v>36656.000022857144</v>
      </c>
      <c r="I412" s="3">
        <f t="shared" si="92"/>
        <v>38672.080024114286</v>
      </c>
      <c r="J412" s="18">
        <f t="shared" si="93"/>
        <v>40721.700265392341</v>
      </c>
    </row>
    <row r="413" spans="2:10" x14ac:dyDescent="0.35">
      <c r="B413" s="32" t="s">
        <v>2544</v>
      </c>
      <c r="C413" s="5" t="s">
        <v>550</v>
      </c>
      <c r="D413" s="5" t="s">
        <v>120</v>
      </c>
      <c r="E413" s="3">
        <v>0</v>
      </c>
      <c r="F413" s="3">
        <v>0</v>
      </c>
      <c r="G413" s="54">
        <f t="shared" si="91"/>
        <v>0</v>
      </c>
      <c r="H413" s="62">
        <f>+G413*1.06</f>
        <v>0</v>
      </c>
      <c r="I413" s="3">
        <f t="shared" si="92"/>
        <v>0</v>
      </c>
      <c r="J413" s="18">
        <f t="shared" si="93"/>
        <v>0</v>
      </c>
    </row>
    <row r="414" spans="2:10" x14ac:dyDescent="0.35">
      <c r="B414" s="32" t="s">
        <v>2544</v>
      </c>
      <c r="C414" s="5" t="s">
        <v>547</v>
      </c>
      <c r="D414" s="5" t="s">
        <v>548</v>
      </c>
      <c r="E414" s="3">
        <v>1500</v>
      </c>
      <c r="F414" s="3">
        <v>10282</v>
      </c>
      <c r="G414" s="54">
        <f t="shared" si="91"/>
        <v>17626.285714285714</v>
      </c>
      <c r="H414" s="62">
        <f>+G414*1.06</f>
        <v>18683.862857142856</v>
      </c>
      <c r="I414" s="3">
        <f t="shared" si="92"/>
        <v>19711.475314285712</v>
      </c>
      <c r="J414" s="18">
        <f t="shared" si="93"/>
        <v>20756.183505942852</v>
      </c>
    </row>
    <row r="415" spans="2:10" x14ac:dyDescent="0.35">
      <c r="B415" s="32" t="s">
        <v>2544</v>
      </c>
      <c r="C415" s="5" t="s">
        <v>546</v>
      </c>
      <c r="D415" s="5" t="s">
        <v>417</v>
      </c>
      <c r="E415" s="3">
        <v>35000</v>
      </c>
      <c r="F415" s="3">
        <v>14125.17</v>
      </c>
      <c r="G415" s="54">
        <f t="shared" si="91"/>
        <v>24214.577142857142</v>
      </c>
      <c r="H415" s="62">
        <f>+G415*1.06</f>
        <v>25667.451771428572</v>
      </c>
      <c r="I415" s="3">
        <f t="shared" si="92"/>
        <v>27079.161618857142</v>
      </c>
      <c r="J415" s="18">
        <f t="shared" si="93"/>
        <v>28514.357184656568</v>
      </c>
    </row>
    <row r="416" spans="2:10" x14ac:dyDescent="0.35">
      <c r="B416" s="32" t="s">
        <v>2544</v>
      </c>
      <c r="C416" s="5" t="s">
        <v>531</v>
      </c>
      <c r="D416" s="5" t="s">
        <v>48</v>
      </c>
      <c r="E416" s="3">
        <v>0</v>
      </c>
      <c r="F416" s="3">
        <v>0</v>
      </c>
      <c r="G416" s="54">
        <f t="shared" si="91"/>
        <v>0</v>
      </c>
      <c r="H416" s="62">
        <f>+G416*1.058</f>
        <v>0</v>
      </c>
      <c r="I416" s="3">
        <f t="shared" si="92"/>
        <v>0</v>
      </c>
      <c r="J416" s="18">
        <f t="shared" si="93"/>
        <v>0</v>
      </c>
    </row>
    <row r="417" spans="2:10" x14ac:dyDescent="0.35">
      <c r="B417" s="32"/>
      <c r="C417" s="5" t="s">
        <v>552</v>
      </c>
      <c r="D417" s="5" t="s">
        <v>368</v>
      </c>
      <c r="E417" s="3">
        <v>9273</v>
      </c>
      <c r="F417" s="3">
        <v>5630.64</v>
      </c>
      <c r="G417" s="54">
        <f t="shared" si="91"/>
        <v>9652.5257142857154</v>
      </c>
      <c r="H417" s="62">
        <f>+G417*1.06</f>
        <v>10231.677257142859</v>
      </c>
      <c r="I417" s="3">
        <f t="shared" si="92"/>
        <v>10794.419506285716</v>
      </c>
      <c r="J417" s="18">
        <f t="shared" si="93"/>
        <v>11366.523740118859</v>
      </c>
    </row>
    <row r="418" spans="2:10" x14ac:dyDescent="0.35">
      <c r="B418" s="32" t="s">
        <v>2544</v>
      </c>
      <c r="C418" s="5" t="s">
        <v>551</v>
      </c>
      <c r="D418" s="5" t="s">
        <v>420</v>
      </c>
      <c r="E418" s="3">
        <v>0</v>
      </c>
      <c r="F418" s="3">
        <v>0</v>
      </c>
      <c r="G418" s="54">
        <f t="shared" si="91"/>
        <v>0</v>
      </c>
      <c r="H418" s="62">
        <f>+G418*1.06</f>
        <v>0</v>
      </c>
      <c r="I418" s="3">
        <f t="shared" si="92"/>
        <v>0</v>
      </c>
      <c r="J418" s="18">
        <f t="shared" si="93"/>
        <v>0</v>
      </c>
    </row>
    <row r="419" spans="2:10" x14ac:dyDescent="0.35">
      <c r="B419" s="32" t="s">
        <v>2544</v>
      </c>
      <c r="C419" s="5" t="s">
        <v>539</v>
      </c>
      <c r="D419" s="5" t="s">
        <v>440</v>
      </c>
      <c r="E419" s="3">
        <v>9500</v>
      </c>
      <c r="F419" s="3">
        <v>0</v>
      </c>
      <c r="G419" s="54">
        <f t="shared" si="91"/>
        <v>0</v>
      </c>
      <c r="H419" s="62">
        <f>+G419*1.06</f>
        <v>0</v>
      </c>
      <c r="I419" s="3">
        <f t="shared" si="92"/>
        <v>0</v>
      </c>
      <c r="J419" s="18">
        <f t="shared" si="93"/>
        <v>0</v>
      </c>
    </row>
    <row r="420" spans="2:10" x14ac:dyDescent="0.35">
      <c r="B420" s="32" t="s">
        <v>2544</v>
      </c>
      <c r="C420" s="5" t="s">
        <v>523</v>
      </c>
      <c r="D420" s="5" t="s">
        <v>38</v>
      </c>
      <c r="E420" s="3">
        <v>0</v>
      </c>
      <c r="F420" s="3">
        <v>13023.69</v>
      </c>
      <c r="G420" s="54">
        <f t="shared" si="91"/>
        <v>22326.325714285715</v>
      </c>
      <c r="H420" s="62">
        <f>+G420*1.058</f>
        <v>23621.252605714286</v>
      </c>
      <c r="I420" s="3">
        <f t="shared" si="92"/>
        <v>24920.421499028569</v>
      </c>
      <c r="J420" s="18">
        <f t="shared" si="93"/>
        <v>26241.203838477082</v>
      </c>
    </row>
    <row r="421" spans="2:10" x14ac:dyDescent="0.35">
      <c r="B421" s="32" t="s">
        <v>2544</v>
      </c>
      <c r="C421" s="5" t="s">
        <v>528</v>
      </c>
      <c r="D421" s="5" t="s">
        <v>42</v>
      </c>
      <c r="E421" s="3">
        <v>74483</v>
      </c>
      <c r="F421" s="3">
        <v>66620.47</v>
      </c>
      <c r="G421" s="54">
        <f t="shared" si="91"/>
        <v>114206.52000000002</v>
      </c>
      <c r="H421" s="62">
        <f>+G421*1.058</f>
        <v>120830.49816000003</v>
      </c>
      <c r="I421" s="3">
        <f t="shared" si="92"/>
        <v>127476.17555880002</v>
      </c>
      <c r="J421" s="18">
        <f t="shared" si="93"/>
        <v>134232.41286341642</v>
      </c>
    </row>
    <row r="422" spans="2:10" x14ac:dyDescent="0.35">
      <c r="B422" s="32" t="s">
        <v>2544</v>
      </c>
      <c r="C422" s="5" t="s">
        <v>549</v>
      </c>
      <c r="D422" s="5" t="s">
        <v>465</v>
      </c>
      <c r="E422" s="3">
        <v>0</v>
      </c>
      <c r="F422" s="3">
        <v>0</v>
      </c>
      <c r="G422" s="54">
        <f t="shared" si="91"/>
        <v>0</v>
      </c>
      <c r="H422" s="62">
        <f>+G422*1.06</f>
        <v>0</v>
      </c>
      <c r="I422" s="3">
        <f t="shared" si="92"/>
        <v>0</v>
      </c>
      <c r="J422" s="18">
        <f t="shared" si="93"/>
        <v>0</v>
      </c>
    </row>
    <row r="423" spans="2:10" x14ac:dyDescent="0.35">
      <c r="B423" s="32" t="s">
        <v>2544</v>
      </c>
      <c r="C423" s="5" t="s">
        <v>521</v>
      </c>
      <c r="D423" s="5" t="s">
        <v>34</v>
      </c>
      <c r="E423" s="3">
        <v>641867</v>
      </c>
      <c r="F423" s="3">
        <f>546940.21-7893.04</f>
        <v>539047.16999999993</v>
      </c>
      <c r="G423" s="54">
        <f t="shared" si="91"/>
        <v>924080.8628571427</v>
      </c>
      <c r="H423" s="62">
        <f>+G423*1.058</f>
        <v>977677.55290285707</v>
      </c>
      <c r="I423" s="3">
        <f t="shared" si="92"/>
        <v>1031449.8183125141</v>
      </c>
      <c r="J423" s="18">
        <f t="shared" si="93"/>
        <v>1086116.6586830772</v>
      </c>
    </row>
    <row r="424" spans="2:10" x14ac:dyDescent="0.35">
      <c r="B424" s="32" t="s">
        <v>2544</v>
      </c>
      <c r="C424" s="5" t="s">
        <v>532</v>
      </c>
      <c r="D424" s="5" t="s">
        <v>50</v>
      </c>
      <c r="E424" s="3">
        <v>6419</v>
      </c>
      <c r="F424" s="3">
        <v>4390.8599999999997</v>
      </c>
      <c r="G424" s="54">
        <f t="shared" si="91"/>
        <v>7527.1885714285709</v>
      </c>
      <c r="H424" s="62">
        <f>+G424*1.058</f>
        <v>7963.7655085714287</v>
      </c>
      <c r="I424" s="3">
        <f t="shared" si="92"/>
        <v>8401.7726115428559</v>
      </c>
      <c r="J424" s="18">
        <f t="shared" si="93"/>
        <v>8847.0665599546264</v>
      </c>
    </row>
    <row r="425" spans="2:10" x14ac:dyDescent="0.35">
      <c r="B425" s="32" t="s">
        <v>2544</v>
      </c>
      <c r="C425" s="5" t="s">
        <v>525</v>
      </c>
      <c r="D425" s="5" t="s">
        <v>526</v>
      </c>
      <c r="E425" s="3">
        <v>0</v>
      </c>
      <c r="F425" s="3">
        <v>3153.29</v>
      </c>
      <c r="G425" s="54">
        <f t="shared" si="91"/>
        <v>5405.6399999999994</v>
      </c>
      <c r="H425" s="62">
        <f>+G425*1.058</f>
        <v>5719.1671200000001</v>
      </c>
      <c r="I425" s="3">
        <f t="shared" si="92"/>
        <v>6033.7213115999994</v>
      </c>
      <c r="J425" s="18">
        <f t="shared" si="93"/>
        <v>6353.5085411147993</v>
      </c>
    </row>
    <row r="426" spans="2:10" x14ac:dyDescent="0.35">
      <c r="B426" s="32" t="s">
        <v>2544</v>
      </c>
      <c r="C426" s="5" t="s">
        <v>524</v>
      </c>
      <c r="D426" s="5" t="s">
        <v>40</v>
      </c>
      <c r="E426" s="3">
        <v>0</v>
      </c>
      <c r="F426" s="3">
        <v>0</v>
      </c>
      <c r="G426" s="54">
        <f t="shared" si="91"/>
        <v>0</v>
      </c>
      <c r="H426" s="62">
        <f>+G426*1.058</f>
        <v>0</v>
      </c>
      <c r="I426" s="3">
        <f t="shared" si="92"/>
        <v>0</v>
      </c>
      <c r="J426" s="18">
        <f t="shared" si="93"/>
        <v>0</v>
      </c>
    </row>
    <row r="427" spans="2:10" x14ac:dyDescent="0.35">
      <c r="B427" s="32" t="s">
        <v>2544</v>
      </c>
      <c r="C427" s="5" t="s">
        <v>529</v>
      </c>
      <c r="D427" s="5" t="s">
        <v>44</v>
      </c>
      <c r="E427" s="3">
        <v>6419</v>
      </c>
      <c r="F427" s="3">
        <v>5216.1000000000004</v>
      </c>
      <c r="G427" s="54">
        <f t="shared" si="91"/>
        <v>8941.8857142857159</v>
      </c>
      <c r="H427" s="62">
        <f>+G427*1.058</f>
        <v>9460.5150857142871</v>
      </c>
      <c r="I427" s="3">
        <f t="shared" si="92"/>
        <v>9980.8434154285715</v>
      </c>
      <c r="J427" s="18">
        <f t="shared" si="93"/>
        <v>10509.828116446286</v>
      </c>
    </row>
    <row r="428" spans="2:10" s="8" customFormat="1" x14ac:dyDescent="0.35">
      <c r="B428" s="33" t="s">
        <v>2546</v>
      </c>
      <c r="C428" s="5"/>
      <c r="D428" s="5"/>
      <c r="E428" s="10">
        <f>SUM(E398:E427)</f>
        <v>860340</v>
      </c>
      <c r="F428" s="10">
        <f t="shared" ref="F428:J428" si="94">SUM(F398:F427)</f>
        <v>775989.01</v>
      </c>
      <c r="G428" s="59">
        <f t="shared" si="94"/>
        <v>1330266.8742857142</v>
      </c>
      <c r="H428" s="63">
        <f t="shared" si="94"/>
        <v>1487550.1994514288</v>
      </c>
      <c r="I428" s="10">
        <f t="shared" si="94"/>
        <v>1484965.460421257</v>
      </c>
      <c r="J428" s="22">
        <f t="shared" si="94"/>
        <v>1563668.6298235834</v>
      </c>
    </row>
    <row r="429" spans="2:10" s="8" customFormat="1" ht="9.75" customHeight="1" x14ac:dyDescent="0.35">
      <c r="B429" s="23"/>
      <c r="E429" s="39"/>
      <c r="F429" s="39"/>
      <c r="G429" s="39"/>
      <c r="H429" s="68"/>
      <c r="I429" s="39"/>
      <c r="J429" s="40"/>
    </row>
    <row r="430" spans="2:10" s="8" customFormat="1" ht="15" thickBot="1" x14ac:dyDescent="0.4">
      <c r="B430" s="35" t="s">
        <v>2548</v>
      </c>
      <c r="C430" s="25"/>
      <c r="D430" s="25"/>
      <c r="E430" s="26">
        <f>+E396+E428</f>
        <v>836340</v>
      </c>
      <c r="F430" s="26">
        <f t="shared" ref="F430:J430" si="95">+F396+F428</f>
        <v>754435.81</v>
      </c>
      <c r="G430" s="60">
        <f t="shared" si="95"/>
        <v>1293318.5314285713</v>
      </c>
      <c r="H430" s="65">
        <f t="shared" si="95"/>
        <v>1465550.1994514288</v>
      </c>
      <c r="I430" s="26">
        <f t="shared" si="95"/>
        <v>1461755.460421257</v>
      </c>
      <c r="J430" s="27">
        <f t="shared" si="95"/>
        <v>1539228.4998235835</v>
      </c>
    </row>
    <row r="431" spans="2:10" s="8" customFormat="1" x14ac:dyDescent="0.35">
      <c r="E431" s="9"/>
      <c r="F431" s="9"/>
      <c r="G431" s="9"/>
      <c r="H431" s="9"/>
      <c r="I431" s="9"/>
      <c r="J431" s="9"/>
    </row>
    <row r="432" spans="2:10" s="8" customFormat="1" x14ac:dyDescent="0.35">
      <c r="E432" s="9"/>
      <c r="F432" s="9"/>
      <c r="G432" s="9"/>
      <c r="H432" s="9"/>
      <c r="I432" s="9"/>
      <c r="J432" s="9"/>
    </row>
    <row r="433" spans="1:10" s="8" customFormat="1" ht="15" thickBot="1" x14ac:dyDescent="0.4">
      <c r="A433" s="12" t="s">
        <v>2590</v>
      </c>
      <c r="B433" s="12" t="s">
        <v>2560</v>
      </c>
      <c r="E433" s="9"/>
      <c r="F433" s="9"/>
      <c r="G433" s="9"/>
      <c r="H433" s="9"/>
      <c r="I433" s="9"/>
      <c r="J433" s="9"/>
    </row>
    <row r="434" spans="1:10" x14ac:dyDescent="0.35">
      <c r="B434" s="41" t="s">
        <v>2543</v>
      </c>
      <c r="C434" s="14" t="s">
        <v>579</v>
      </c>
      <c r="D434" s="14" t="s">
        <v>281</v>
      </c>
      <c r="E434" s="15">
        <v>0</v>
      </c>
      <c r="F434" s="15">
        <v>0</v>
      </c>
      <c r="G434" s="58">
        <f t="shared" si="86"/>
        <v>0</v>
      </c>
      <c r="H434" s="61">
        <f>+G434*1.06</f>
        <v>0</v>
      </c>
      <c r="I434" s="15">
        <f>+H434*1.055</f>
        <v>0</v>
      </c>
      <c r="J434" s="16">
        <f>+I434*1.053</f>
        <v>0</v>
      </c>
    </row>
    <row r="435" spans="1:10" x14ac:dyDescent="0.35">
      <c r="B435" s="42" t="s">
        <v>2543</v>
      </c>
      <c r="C435" s="5" t="s">
        <v>580</v>
      </c>
      <c r="D435" s="5" t="s">
        <v>126</v>
      </c>
      <c r="E435" s="3">
        <v>0</v>
      </c>
      <c r="F435" s="3">
        <f>206.9-456</f>
        <v>-249.1</v>
      </c>
      <c r="G435" s="54">
        <f t="shared" si="86"/>
        <v>-427.02857142857135</v>
      </c>
      <c r="H435" s="62">
        <f t="shared" ref="H435:H441" si="96">+G435*1.06</f>
        <v>-452.65028571428564</v>
      </c>
      <c r="I435" s="3">
        <f t="shared" ref="I435:I441" si="97">+H435*1.055</f>
        <v>-477.54605142857133</v>
      </c>
      <c r="J435" s="18">
        <f t="shared" ref="J435:J441" si="98">+I435*1.053</f>
        <v>-502.85599215428556</v>
      </c>
    </row>
    <row r="436" spans="1:10" x14ac:dyDescent="0.35">
      <c r="B436" s="42" t="s">
        <v>2543</v>
      </c>
      <c r="C436" s="5" t="s">
        <v>581</v>
      </c>
      <c r="D436" s="5" t="s">
        <v>145</v>
      </c>
      <c r="E436" s="3">
        <v>0</v>
      </c>
      <c r="F436" s="3">
        <v>0</v>
      </c>
      <c r="G436" s="54">
        <f t="shared" si="86"/>
        <v>0</v>
      </c>
      <c r="H436" s="62">
        <f t="shared" si="96"/>
        <v>0</v>
      </c>
      <c r="I436" s="3">
        <f t="shared" si="97"/>
        <v>0</v>
      </c>
      <c r="J436" s="18">
        <f t="shared" si="98"/>
        <v>0</v>
      </c>
    </row>
    <row r="437" spans="1:10" x14ac:dyDescent="0.35">
      <c r="B437" s="42" t="s">
        <v>2543</v>
      </c>
      <c r="C437" s="5" t="s">
        <v>582</v>
      </c>
      <c r="D437" s="5" t="s">
        <v>371</v>
      </c>
      <c r="E437" s="3">
        <v>0</v>
      </c>
      <c r="F437" s="3">
        <v>0</v>
      </c>
      <c r="G437" s="54">
        <f t="shared" si="86"/>
        <v>0</v>
      </c>
      <c r="H437" s="62">
        <f t="shared" si="96"/>
        <v>0</v>
      </c>
      <c r="I437" s="3">
        <f t="shared" si="97"/>
        <v>0</v>
      </c>
      <c r="J437" s="18">
        <f t="shared" si="98"/>
        <v>0</v>
      </c>
    </row>
    <row r="438" spans="1:10" x14ac:dyDescent="0.35">
      <c r="B438" s="42" t="s">
        <v>2543</v>
      </c>
      <c r="C438" s="5" t="s">
        <v>583</v>
      </c>
      <c r="D438" s="5" t="s">
        <v>584</v>
      </c>
      <c r="E438" s="3">
        <v>0</v>
      </c>
      <c r="F438" s="3">
        <v>0</v>
      </c>
      <c r="G438" s="54">
        <f t="shared" si="86"/>
        <v>0</v>
      </c>
      <c r="H438" s="62">
        <f t="shared" si="96"/>
        <v>0</v>
      </c>
      <c r="I438" s="3">
        <f t="shared" si="97"/>
        <v>0</v>
      </c>
      <c r="J438" s="18">
        <f t="shared" si="98"/>
        <v>0</v>
      </c>
    </row>
    <row r="439" spans="1:10" x14ac:dyDescent="0.35">
      <c r="B439" s="42" t="s">
        <v>2543</v>
      </c>
      <c r="C439" s="5" t="s">
        <v>585</v>
      </c>
      <c r="D439" s="5" t="s">
        <v>163</v>
      </c>
      <c r="E439" s="3">
        <v>0</v>
      </c>
      <c r="F439" s="3">
        <v>0</v>
      </c>
      <c r="G439" s="54">
        <f t="shared" si="86"/>
        <v>0</v>
      </c>
      <c r="H439" s="62">
        <f t="shared" si="96"/>
        <v>0</v>
      </c>
      <c r="I439" s="3">
        <f t="shared" si="97"/>
        <v>0</v>
      </c>
      <c r="J439" s="18">
        <f t="shared" si="98"/>
        <v>0</v>
      </c>
    </row>
    <row r="440" spans="1:10" x14ac:dyDescent="0.35">
      <c r="B440" s="42" t="s">
        <v>2543</v>
      </c>
      <c r="C440" s="5" t="s">
        <v>586</v>
      </c>
      <c r="D440" s="5" t="s">
        <v>30</v>
      </c>
      <c r="E440" s="3">
        <v>0</v>
      </c>
      <c r="F440" s="3">
        <v>0</v>
      </c>
      <c r="G440" s="54">
        <f t="shared" si="86"/>
        <v>0</v>
      </c>
      <c r="H440" s="62">
        <f t="shared" si="96"/>
        <v>0</v>
      </c>
      <c r="I440" s="3">
        <f t="shared" si="97"/>
        <v>0</v>
      </c>
      <c r="J440" s="18">
        <f t="shared" si="98"/>
        <v>0</v>
      </c>
    </row>
    <row r="441" spans="1:10" x14ac:dyDescent="0.35">
      <c r="B441" s="42" t="s">
        <v>2543</v>
      </c>
      <c r="C441" s="5" t="s">
        <v>587</v>
      </c>
      <c r="D441" s="5" t="s">
        <v>32</v>
      </c>
      <c r="E441" s="3">
        <v>0</v>
      </c>
      <c r="F441" s="3">
        <v>0</v>
      </c>
      <c r="G441" s="54">
        <f t="shared" si="86"/>
        <v>0</v>
      </c>
      <c r="H441" s="62">
        <f t="shared" si="96"/>
        <v>0</v>
      </c>
      <c r="I441" s="3">
        <f t="shared" si="97"/>
        <v>0</v>
      </c>
      <c r="J441" s="18">
        <f t="shared" si="98"/>
        <v>0</v>
      </c>
    </row>
    <row r="442" spans="1:10" s="8" customFormat="1" x14ac:dyDescent="0.35">
      <c r="B442" s="33" t="s">
        <v>2545</v>
      </c>
      <c r="C442" s="5"/>
      <c r="D442" s="5"/>
      <c r="E442" s="10">
        <f>SUM(E434:E441)</f>
        <v>0</v>
      </c>
      <c r="F442" s="10">
        <f t="shared" ref="F442:J442" si="99">SUM(F434:F441)</f>
        <v>-249.1</v>
      </c>
      <c r="G442" s="59">
        <f t="shared" si="99"/>
        <v>-427.02857142857135</v>
      </c>
      <c r="H442" s="63">
        <f t="shared" si="99"/>
        <v>-452.65028571428564</v>
      </c>
      <c r="I442" s="10">
        <f t="shared" si="99"/>
        <v>-477.54605142857133</v>
      </c>
      <c r="J442" s="22">
        <f t="shared" si="99"/>
        <v>-502.85599215428556</v>
      </c>
    </row>
    <row r="443" spans="1:10" s="8" customFormat="1" x14ac:dyDescent="0.35">
      <c r="B443" s="23"/>
      <c r="E443" s="9"/>
      <c r="F443" s="9"/>
      <c r="G443" s="9"/>
      <c r="H443" s="64"/>
      <c r="I443" s="9"/>
      <c r="J443" s="21"/>
    </row>
    <row r="444" spans="1:10" x14ac:dyDescent="0.35">
      <c r="B444" s="32" t="s">
        <v>2544</v>
      </c>
      <c r="C444" s="5" t="s">
        <v>594</v>
      </c>
      <c r="D444" s="5" t="s">
        <v>595</v>
      </c>
      <c r="E444" s="3">
        <v>0</v>
      </c>
      <c r="F444" s="3">
        <v>0</v>
      </c>
      <c r="G444" s="54">
        <f t="shared" ref="G444:G479" si="100">+F444/7*12</f>
        <v>0</v>
      </c>
      <c r="H444" s="62">
        <f t="shared" ref="H444:H458" si="101">+G444*1.06</f>
        <v>0</v>
      </c>
      <c r="I444" s="3">
        <f t="shared" ref="I444:I479" si="102">+H444*1.055</f>
        <v>0</v>
      </c>
      <c r="J444" s="18">
        <f t="shared" ref="J444:J479" si="103">+I444*1.053</f>
        <v>0</v>
      </c>
    </row>
    <row r="445" spans="1:10" x14ac:dyDescent="0.35">
      <c r="B445" s="32" t="s">
        <v>2544</v>
      </c>
      <c r="C445" s="5" t="s">
        <v>596</v>
      </c>
      <c r="D445" s="5" t="s">
        <v>597</v>
      </c>
      <c r="E445" s="3">
        <v>30000</v>
      </c>
      <c r="F445" s="3">
        <v>0</v>
      </c>
      <c r="G445" s="54">
        <f t="shared" si="100"/>
        <v>0</v>
      </c>
      <c r="H445" s="62">
        <f t="shared" si="101"/>
        <v>0</v>
      </c>
      <c r="I445" s="3">
        <f t="shared" si="102"/>
        <v>0</v>
      </c>
      <c r="J445" s="18">
        <f t="shared" si="103"/>
        <v>0</v>
      </c>
    </row>
    <row r="446" spans="1:10" x14ac:dyDescent="0.35">
      <c r="B446" s="32" t="s">
        <v>2544</v>
      </c>
      <c r="C446" s="5" t="s">
        <v>598</v>
      </c>
      <c r="D446" s="5" t="s">
        <v>599</v>
      </c>
      <c r="E446" s="3">
        <v>0</v>
      </c>
      <c r="F446" s="3">
        <v>0</v>
      </c>
      <c r="G446" s="54">
        <f t="shared" si="100"/>
        <v>0</v>
      </c>
      <c r="H446" s="62">
        <f t="shared" si="101"/>
        <v>0</v>
      </c>
      <c r="I446" s="3">
        <f t="shared" si="102"/>
        <v>0</v>
      </c>
      <c r="J446" s="18">
        <f t="shared" si="103"/>
        <v>0</v>
      </c>
    </row>
    <row r="447" spans="1:10" x14ac:dyDescent="0.35">
      <c r="B447" s="32" t="s">
        <v>2544</v>
      </c>
      <c r="C447" s="5" t="s">
        <v>608</v>
      </c>
      <c r="D447" s="5" t="s">
        <v>344</v>
      </c>
      <c r="E447" s="3">
        <v>0</v>
      </c>
      <c r="F447" s="3">
        <v>0</v>
      </c>
      <c r="G447" s="54">
        <f t="shared" si="100"/>
        <v>0</v>
      </c>
      <c r="H447" s="62">
        <f t="shared" si="101"/>
        <v>0</v>
      </c>
      <c r="I447" s="3">
        <f t="shared" si="102"/>
        <v>0</v>
      </c>
      <c r="J447" s="18">
        <f t="shared" si="103"/>
        <v>0</v>
      </c>
    </row>
    <row r="448" spans="1:10" x14ac:dyDescent="0.35">
      <c r="B448" s="32" t="s">
        <v>2544</v>
      </c>
      <c r="C448" s="5" t="s">
        <v>592</v>
      </c>
      <c r="D448" s="5" t="s">
        <v>66</v>
      </c>
      <c r="E448" s="3">
        <v>0</v>
      </c>
      <c r="F448" s="3">
        <v>0</v>
      </c>
      <c r="G448" s="54">
        <f t="shared" si="100"/>
        <v>0</v>
      </c>
      <c r="H448" s="62">
        <f t="shared" si="101"/>
        <v>0</v>
      </c>
      <c r="I448" s="3">
        <f t="shared" si="102"/>
        <v>0</v>
      </c>
      <c r="J448" s="18">
        <f t="shared" si="103"/>
        <v>0</v>
      </c>
    </row>
    <row r="449" spans="2:10" x14ac:dyDescent="0.35">
      <c r="B449" s="32" t="s">
        <v>2544</v>
      </c>
      <c r="C449" s="5" t="s">
        <v>600</v>
      </c>
      <c r="D449" s="5" t="s">
        <v>601</v>
      </c>
      <c r="E449" s="3">
        <v>30000</v>
      </c>
      <c r="F449" s="3">
        <v>0</v>
      </c>
      <c r="G449" s="54">
        <f t="shared" si="100"/>
        <v>0</v>
      </c>
      <c r="H449" s="62">
        <f t="shared" si="101"/>
        <v>0</v>
      </c>
      <c r="I449" s="3">
        <f t="shared" si="102"/>
        <v>0</v>
      </c>
      <c r="J449" s="18">
        <f t="shared" si="103"/>
        <v>0</v>
      </c>
    </row>
    <row r="450" spans="2:10" x14ac:dyDescent="0.35">
      <c r="B450" s="32" t="s">
        <v>2544</v>
      </c>
      <c r="C450" s="5" t="s">
        <v>635</v>
      </c>
      <c r="D450" s="5" t="s">
        <v>636</v>
      </c>
      <c r="E450" s="3">
        <v>0</v>
      </c>
      <c r="F450" s="3">
        <v>0</v>
      </c>
      <c r="G450" s="54">
        <f t="shared" si="100"/>
        <v>0</v>
      </c>
      <c r="H450" s="62">
        <f t="shared" si="101"/>
        <v>0</v>
      </c>
      <c r="I450" s="3">
        <f t="shared" si="102"/>
        <v>0</v>
      </c>
      <c r="J450" s="18">
        <f t="shared" si="103"/>
        <v>0</v>
      </c>
    </row>
    <row r="451" spans="2:10" x14ac:dyDescent="0.35">
      <c r="B451" s="32" t="s">
        <v>2544</v>
      </c>
      <c r="C451" s="5" t="s">
        <v>643</v>
      </c>
      <c r="D451" s="5" t="s">
        <v>124</v>
      </c>
      <c r="E451" s="3">
        <v>0</v>
      </c>
      <c r="F451" s="3">
        <v>0</v>
      </c>
      <c r="G451" s="54">
        <f t="shared" si="100"/>
        <v>0</v>
      </c>
      <c r="H451" s="62">
        <f t="shared" si="101"/>
        <v>0</v>
      </c>
      <c r="I451" s="3">
        <f t="shared" si="102"/>
        <v>0</v>
      </c>
      <c r="J451" s="18">
        <f t="shared" si="103"/>
        <v>0</v>
      </c>
    </row>
    <row r="452" spans="2:10" x14ac:dyDescent="0.35">
      <c r="B452" s="32" t="s">
        <v>2544</v>
      </c>
      <c r="C452" s="5" t="s">
        <v>610</v>
      </c>
      <c r="D452" s="5" t="s">
        <v>351</v>
      </c>
      <c r="E452" s="3">
        <v>0</v>
      </c>
      <c r="F452" s="3">
        <v>0</v>
      </c>
      <c r="G452" s="54">
        <f t="shared" si="100"/>
        <v>0</v>
      </c>
      <c r="H452" s="62">
        <f t="shared" si="101"/>
        <v>0</v>
      </c>
      <c r="I452" s="3">
        <f t="shared" si="102"/>
        <v>0</v>
      </c>
      <c r="J452" s="18">
        <f t="shared" si="103"/>
        <v>0</v>
      </c>
    </row>
    <row r="453" spans="2:10" x14ac:dyDescent="0.35">
      <c r="B453" s="32" t="s">
        <v>2544</v>
      </c>
      <c r="C453" s="5" t="s">
        <v>604</v>
      </c>
      <c r="D453" s="5" t="s">
        <v>605</v>
      </c>
      <c r="E453" s="3">
        <v>0</v>
      </c>
      <c r="F453" s="3">
        <v>0</v>
      </c>
      <c r="G453" s="54">
        <f t="shared" si="100"/>
        <v>0</v>
      </c>
      <c r="H453" s="62">
        <f t="shared" si="101"/>
        <v>0</v>
      </c>
      <c r="I453" s="3">
        <f t="shared" si="102"/>
        <v>0</v>
      </c>
      <c r="J453" s="18">
        <f t="shared" si="103"/>
        <v>0</v>
      </c>
    </row>
    <row r="454" spans="2:10" x14ac:dyDescent="0.35">
      <c r="B454" s="32" t="s">
        <v>2544</v>
      </c>
      <c r="C454" s="5" t="s">
        <v>591</v>
      </c>
      <c r="D454" s="5" t="s">
        <v>64</v>
      </c>
      <c r="E454" s="3">
        <v>0</v>
      </c>
      <c r="F454" s="3">
        <v>0</v>
      </c>
      <c r="G454" s="54">
        <f t="shared" si="100"/>
        <v>0</v>
      </c>
      <c r="H454" s="62">
        <f t="shared" si="101"/>
        <v>0</v>
      </c>
      <c r="I454" s="3">
        <f t="shared" si="102"/>
        <v>0</v>
      </c>
      <c r="J454" s="18">
        <f t="shared" si="103"/>
        <v>0</v>
      </c>
    </row>
    <row r="455" spans="2:10" x14ac:dyDescent="0.35">
      <c r="B455" s="32" t="s">
        <v>2544</v>
      </c>
      <c r="C455" s="5" t="s">
        <v>593</v>
      </c>
      <c r="D455" s="5" t="s">
        <v>68</v>
      </c>
      <c r="E455" s="3">
        <v>0</v>
      </c>
      <c r="F455" s="3">
        <v>0</v>
      </c>
      <c r="G455" s="54">
        <f t="shared" si="100"/>
        <v>0</v>
      </c>
      <c r="H455" s="62">
        <f t="shared" si="101"/>
        <v>0</v>
      </c>
      <c r="I455" s="3">
        <f t="shared" si="102"/>
        <v>0</v>
      </c>
      <c r="J455" s="18">
        <f t="shared" si="103"/>
        <v>0</v>
      </c>
    </row>
    <row r="456" spans="2:10" x14ac:dyDescent="0.35">
      <c r="B456" s="32" t="s">
        <v>2544</v>
      </c>
      <c r="C456" s="5" t="s">
        <v>642</v>
      </c>
      <c r="D456" s="5" t="s">
        <v>122</v>
      </c>
      <c r="E456" s="3">
        <v>0</v>
      </c>
      <c r="F456" s="3">
        <v>0</v>
      </c>
      <c r="G456" s="54">
        <f t="shared" si="100"/>
        <v>0</v>
      </c>
      <c r="H456" s="62">
        <f t="shared" si="101"/>
        <v>0</v>
      </c>
      <c r="I456" s="3">
        <f t="shared" si="102"/>
        <v>0</v>
      </c>
      <c r="J456" s="18">
        <f t="shared" si="103"/>
        <v>0</v>
      </c>
    </row>
    <row r="457" spans="2:10" x14ac:dyDescent="0.35">
      <c r="B457" s="32" t="s">
        <v>2544</v>
      </c>
      <c r="C457" s="5" t="s">
        <v>629</v>
      </c>
      <c r="D457" s="5" t="s">
        <v>630</v>
      </c>
      <c r="E457" s="3">
        <v>0</v>
      </c>
      <c r="F457" s="3">
        <v>0</v>
      </c>
      <c r="G457" s="54">
        <f t="shared" si="100"/>
        <v>0</v>
      </c>
      <c r="H457" s="62">
        <f t="shared" si="101"/>
        <v>0</v>
      </c>
      <c r="I457" s="3">
        <f t="shared" si="102"/>
        <v>0</v>
      </c>
      <c r="J457" s="18">
        <f t="shared" si="103"/>
        <v>0</v>
      </c>
    </row>
    <row r="458" spans="2:10" x14ac:dyDescent="0.35">
      <c r="B458" s="32" t="s">
        <v>2544</v>
      </c>
      <c r="C458" s="5" t="s">
        <v>616</v>
      </c>
      <c r="D458" s="5" t="s">
        <v>617</v>
      </c>
      <c r="E458" s="3">
        <v>0</v>
      </c>
      <c r="F458" s="3">
        <v>0</v>
      </c>
      <c r="G458" s="54">
        <f t="shared" si="100"/>
        <v>0</v>
      </c>
      <c r="H458" s="62">
        <f t="shared" si="101"/>
        <v>0</v>
      </c>
      <c r="I458" s="3">
        <f t="shared" si="102"/>
        <v>0</v>
      </c>
      <c r="J458" s="18">
        <f t="shared" si="103"/>
        <v>0</v>
      </c>
    </row>
    <row r="459" spans="2:10" x14ac:dyDescent="0.35">
      <c r="B459" s="32" t="s">
        <v>2544</v>
      </c>
      <c r="C459" s="5" t="s">
        <v>590</v>
      </c>
      <c r="D459" s="5" t="s">
        <v>52</v>
      </c>
      <c r="E459" s="3">
        <v>0</v>
      </c>
      <c r="F459" s="3">
        <v>0</v>
      </c>
      <c r="G459" s="54">
        <f t="shared" si="100"/>
        <v>0</v>
      </c>
      <c r="H459" s="62">
        <f>+G459*1.058</f>
        <v>0</v>
      </c>
      <c r="I459" s="3">
        <f t="shared" si="102"/>
        <v>0</v>
      </c>
      <c r="J459" s="18">
        <f t="shared" si="103"/>
        <v>0</v>
      </c>
    </row>
    <row r="460" spans="2:10" x14ac:dyDescent="0.35">
      <c r="B460" s="32" t="s">
        <v>2544</v>
      </c>
      <c r="C460" s="5" t="s">
        <v>609</v>
      </c>
      <c r="D460" s="5" t="s">
        <v>223</v>
      </c>
      <c r="E460" s="3">
        <v>0</v>
      </c>
      <c r="F460" s="3">
        <v>0</v>
      </c>
      <c r="G460" s="54">
        <f t="shared" si="100"/>
        <v>0</v>
      </c>
      <c r="H460" s="62">
        <f t="shared" ref="H460:H465" si="104">+G460*1.06</f>
        <v>0</v>
      </c>
      <c r="I460" s="3">
        <f t="shared" si="102"/>
        <v>0</v>
      </c>
      <c r="J460" s="18">
        <f t="shared" si="103"/>
        <v>0</v>
      </c>
    </row>
    <row r="461" spans="2:10" x14ac:dyDescent="0.35">
      <c r="B461" s="32" t="s">
        <v>2544</v>
      </c>
      <c r="C461" s="5" t="s">
        <v>641</v>
      </c>
      <c r="D461" s="5" t="s">
        <v>120</v>
      </c>
      <c r="E461" s="3">
        <v>0</v>
      </c>
      <c r="F461" s="3">
        <v>0</v>
      </c>
      <c r="G461" s="54">
        <f t="shared" si="100"/>
        <v>0</v>
      </c>
      <c r="H461" s="62">
        <f t="shared" si="104"/>
        <v>0</v>
      </c>
      <c r="I461" s="3">
        <f t="shared" si="102"/>
        <v>0</v>
      </c>
      <c r="J461" s="18">
        <f t="shared" si="103"/>
        <v>0</v>
      </c>
    </row>
    <row r="462" spans="2:10" x14ac:dyDescent="0.35">
      <c r="B462" s="32" t="s">
        <v>2544</v>
      </c>
      <c r="C462" s="5" t="s">
        <v>614</v>
      </c>
      <c r="D462" s="5" t="s">
        <v>615</v>
      </c>
      <c r="E462" s="3">
        <v>0</v>
      </c>
      <c r="F462" s="3">
        <v>0</v>
      </c>
      <c r="G462" s="54">
        <f t="shared" si="100"/>
        <v>0</v>
      </c>
      <c r="H462" s="62">
        <f t="shared" si="104"/>
        <v>0</v>
      </c>
      <c r="I462" s="3">
        <f t="shared" si="102"/>
        <v>0</v>
      </c>
      <c r="J462" s="18">
        <f t="shared" si="103"/>
        <v>0</v>
      </c>
    </row>
    <row r="463" spans="2:10" x14ac:dyDescent="0.35">
      <c r="B463" s="32" t="s">
        <v>2544</v>
      </c>
      <c r="C463" s="5" t="s">
        <v>612</v>
      </c>
      <c r="D463" s="5" t="s">
        <v>613</v>
      </c>
      <c r="E463" s="3">
        <v>0</v>
      </c>
      <c r="F463" s="3">
        <v>0</v>
      </c>
      <c r="G463" s="54">
        <f t="shared" si="100"/>
        <v>0</v>
      </c>
      <c r="H463" s="62">
        <f t="shared" si="104"/>
        <v>0</v>
      </c>
      <c r="I463" s="3">
        <f t="shared" si="102"/>
        <v>0</v>
      </c>
      <c r="J463" s="18">
        <f t="shared" si="103"/>
        <v>0</v>
      </c>
    </row>
    <row r="464" spans="2:10" x14ac:dyDescent="0.35">
      <c r="B464" s="32" t="s">
        <v>2544</v>
      </c>
      <c r="C464" s="5" t="s">
        <v>639</v>
      </c>
      <c r="D464" s="5" t="s">
        <v>640</v>
      </c>
      <c r="E464" s="3">
        <v>0</v>
      </c>
      <c r="F464" s="3">
        <v>0</v>
      </c>
      <c r="G464" s="54">
        <f t="shared" si="100"/>
        <v>0</v>
      </c>
      <c r="H464" s="62">
        <f t="shared" si="104"/>
        <v>0</v>
      </c>
      <c r="I464" s="3">
        <f t="shared" si="102"/>
        <v>0</v>
      </c>
      <c r="J464" s="18">
        <f t="shared" si="103"/>
        <v>0</v>
      </c>
    </row>
    <row r="465" spans="2:10" x14ac:dyDescent="0.35">
      <c r="B465" s="32" t="s">
        <v>2544</v>
      </c>
      <c r="C465" s="5" t="s">
        <v>627</v>
      </c>
      <c r="D465" s="5" t="s">
        <v>628</v>
      </c>
      <c r="E465" s="3">
        <v>0</v>
      </c>
      <c r="F465" s="3">
        <v>0</v>
      </c>
      <c r="G465" s="54">
        <f t="shared" si="100"/>
        <v>0</v>
      </c>
      <c r="H465" s="62">
        <f t="shared" si="104"/>
        <v>0</v>
      </c>
      <c r="I465" s="3">
        <f t="shared" si="102"/>
        <v>0</v>
      </c>
      <c r="J465" s="18">
        <f t="shared" si="103"/>
        <v>0</v>
      </c>
    </row>
    <row r="466" spans="2:10" x14ac:dyDescent="0.35">
      <c r="B466" s="32" t="s">
        <v>2544</v>
      </c>
      <c r="C466" s="5" t="s">
        <v>589</v>
      </c>
      <c r="D466" s="5" t="s">
        <v>38</v>
      </c>
      <c r="E466" s="3">
        <v>0</v>
      </c>
      <c r="F466" s="3">
        <v>0</v>
      </c>
      <c r="G466" s="54">
        <f t="shared" si="100"/>
        <v>0</v>
      </c>
      <c r="H466" s="62">
        <f>+G466*1.058</f>
        <v>0</v>
      </c>
      <c r="I466" s="3">
        <f t="shared" si="102"/>
        <v>0</v>
      </c>
      <c r="J466" s="18">
        <f t="shared" si="103"/>
        <v>0</v>
      </c>
    </row>
    <row r="467" spans="2:10" x14ac:dyDescent="0.35">
      <c r="B467" s="32" t="s">
        <v>2544</v>
      </c>
      <c r="C467" s="5" t="s">
        <v>588</v>
      </c>
      <c r="D467" s="5" t="s">
        <v>34</v>
      </c>
      <c r="E467" s="3">
        <v>0</v>
      </c>
      <c r="F467" s="3">
        <v>0</v>
      </c>
      <c r="G467" s="54">
        <f t="shared" si="100"/>
        <v>0</v>
      </c>
      <c r="H467" s="62">
        <f>+G467*1.058</f>
        <v>0</v>
      </c>
      <c r="I467" s="3">
        <f t="shared" si="102"/>
        <v>0</v>
      </c>
      <c r="J467" s="18">
        <f t="shared" si="103"/>
        <v>0</v>
      </c>
    </row>
    <row r="468" spans="2:10" x14ac:dyDescent="0.35">
      <c r="B468" s="32" t="s">
        <v>2544</v>
      </c>
      <c r="C468" s="5" t="s">
        <v>637</v>
      </c>
      <c r="D468" s="5" t="s">
        <v>638</v>
      </c>
      <c r="E468" s="3">
        <v>0</v>
      </c>
      <c r="F468" s="3">
        <v>0</v>
      </c>
      <c r="G468" s="54">
        <f t="shared" si="100"/>
        <v>0</v>
      </c>
      <c r="H468" s="62">
        <f t="shared" ref="H468:H479" si="105">+G468*1.06</f>
        <v>0</v>
      </c>
      <c r="I468" s="3">
        <f t="shared" si="102"/>
        <v>0</v>
      </c>
      <c r="J468" s="18">
        <f t="shared" si="103"/>
        <v>0</v>
      </c>
    </row>
    <row r="469" spans="2:10" x14ac:dyDescent="0.35">
      <c r="B469" s="32" t="s">
        <v>2544</v>
      </c>
      <c r="C469" s="5" t="s">
        <v>631</v>
      </c>
      <c r="D469" s="5" t="s">
        <v>632</v>
      </c>
      <c r="E469" s="3">
        <v>0</v>
      </c>
      <c r="F469" s="3">
        <v>0</v>
      </c>
      <c r="G469" s="54">
        <f t="shared" si="100"/>
        <v>0</v>
      </c>
      <c r="H469" s="62">
        <f t="shared" si="105"/>
        <v>0</v>
      </c>
      <c r="I469" s="3">
        <f t="shared" si="102"/>
        <v>0</v>
      </c>
      <c r="J469" s="18">
        <f t="shared" si="103"/>
        <v>0</v>
      </c>
    </row>
    <row r="470" spans="2:10" x14ac:dyDescent="0.35">
      <c r="B470" s="32" t="s">
        <v>2544</v>
      </c>
      <c r="C470" s="5" t="s">
        <v>606</v>
      </c>
      <c r="D470" s="5" t="s">
        <v>92</v>
      </c>
      <c r="E470" s="3">
        <v>0</v>
      </c>
      <c r="F470" s="3">
        <v>0</v>
      </c>
      <c r="G470" s="54">
        <f t="shared" si="100"/>
        <v>0</v>
      </c>
      <c r="H470" s="62">
        <f t="shared" si="105"/>
        <v>0</v>
      </c>
      <c r="I470" s="3">
        <f t="shared" si="102"/>
        <v>0</v>
      </c>
      <c r="J470" s="18">
        <f t="shared" si="103"/>
        <v>0</v>
      </c>
    </row>
    <row r="471" spans="2:10" x14ac:dyDescent="0.35">
      <c r="B471" s="32" t="s">
        <v>2544</v>
      </c>
      <c r="C471" s="5" t="s">
        <v>607</v>
      </c>
      <c r="D471" s="5" t="s">
        <v>94</v>
      </c>
      <c r="E471" s="3">
        <v>0</v>
      </c>
      <c r="F471" s="3">
        <v>0</v>
      </c>
      <c r="G471" s="54">
        <f t="shared" si="100"/>
        <v>0</v>
      </c>
      <c r="H471" s="62">
        <f t="shared" si="105"/>
        <v>0</v>
      </c>
      <c r="I471" s="3">
        <f t="shared" si="102"/>
        <v>0</v>
      </c>
      <c r="J471" s="18">
        <f t="shared" si="103"/>
        <v>0</v>
      </c>
    </row>
    <row r="472" spans="2:10" x14ac:dyDescent="0.35">
      <c r="B472" s="32" t="s">
        <v>2544</v>
      </c>
      <c r="C472" s="5" t="s">
        <v>625</v>
      </c>
      <c r="D472" s="5" t="s">
        <v>626</v>
      </c>
      <c r="E472" s="3">
        <v>0</v>
      </c>
      <c r="F472" s="3">
        <v>0</v>
      </c>
      <c r="G472" s="54">
        <f t="shared" si="100"/>
        <v>0</v>
      </c>
      <c r="H472" s="62">
        <f t="shared" si="105"/>
        <v>0</v>
      </c>
      <c r="I472" s="3">
        <f t="shared" si="102"/>
        <v>0</v>
      </c>
      <c r="J472" s="18">
        <f t="shared" si="103"/>
        <v>0</v>
      </c>
    </row>
    <row r="473" spans="2:10" x14ac:dyDescent="0.35">
      <c r="B473" s="32" t="s">
        <v>2544</v>
      </c>
      <c r="C473" s="5" t="s">
        <v>623</v>
      </c>
      <c r="D473" s="5" t="s">
        <v>624</v>
      </c>
      <c r="E473" s="3">
        <v>0</v>
      </c>
      <c r="F473" s="3">
        <v>285</v>
      </c>
      <c r="G473" s="54">
        <f t="shared" si="100"/>
        <v>488.57142857142856</v>
      </c>
      <c r="H473" s="62">
        <f t="shared" si="105"/>
        <v>517.88571428571424</v>
      </c>
      <c r="I473" s="3">
        <f t="shared" si="102"/>
        <v>546.36942857142844</v>
      </c>
      <c r="J473" s="18">
        <f t="shared" si="103"/>
        <v>575.3270082857141</v>
      </c>
    </row>
    <row r="474" spans="2:10" x14ac:dyDescent="0.35">
      <c r="B474" s="32" t="s">
        <v>2544</v>
      </c>
      <c r="C474" s="5" t="s">
        <v>611</v>
      </c>
      <c r="D474" s="5" t="s">
        <v>98</v>
      </c>
      <c r="E474" s="3">
        <v>0</v>
      </c>
      <c r="F474" s="3">
        <v>16748.7</v>
      </c>
      <c r="G474" s="54">
        <f t="shared" si="100"/>
        <v>28712.057142857146</v>
      </c>
      <c r="H474" s="62">
        <f t="shared" si="105"/>
        <v>30434.780571428575</v>
      </c>
      <c r="I474" s="3">
        <f t="shared" si="102"/>
        <v>32108.693502857146</v>
      </c>
      <c r="J474" s="18">
        <f t="shared" si="103"/>
        <v>33810.454258508573</v>
      </c>
    </row>
    <row r="475" spans="2:10" x14ac:dyDescent="0.35">
      <c r="B475" s="32" t="s">
        <v>2544</v>
      </c>
      <c r="C475" s="5" t="s">
        <v>620</v>
      </c>
      <c r="D475" s="5" t="s">
        <v>621</v>
      </c>
      <c r="E475" s="3">
        <v>0</v>
      </c>
      <c r="F475" s="3">
        <v>0</v>
      </c>
      <c r="G475" s="54">
        <f t="shared" si="100"/>
        <v>0</v>
      </c>
      <c r="H475" s="62">
        <f t="shared" si="105"/>
        <v>0</v>
      </c>
      <c r="I475" s="3">
        <f t="shared" si="102"/>
        <v>0</v>
      </c>
      <c r="J475" s="18">
        <f t="shared" si="103"/>
        <v>0</v>
      </c>
    </row>
    <row r="476" spans="2:10" x14ac:dyDescent="0.35">
      <c r="B476" s="32" t="s">
        <v>2544</v>
      </c>
      <c r="C476" s="5" t="s">
        <v>618</v>
      </c>
      <c r="D476" s="5" t="s">
        <v>619</v>
      </c>
      <c r="E476" s="3">
        <v>0</v>
      </c>
      <c r="F476" s="3">
        <v>0</v>
      </c>
      <c r="G476" s="54">
        <f t="shared" si="100"/>
        <v>0</v>
      </c>
      <c r="H476" s="62">
        <f t="shared" si="105"/>
        <v>0</v>
      </c>
      <c r="I476" s="3">
        <f t="shared" si="102"/>
        <v>0</v>
      </c>
      <c r="J476" s="18">
        <f t="shared" si="103"/>
        <v>0</v>
      </c>
    </row>
    <row r="477" spans="2:10" x14ac:dyDescent="0.35">
      <c r="B477" s="32" t="s">
        <v>2544</v>
      </c>
      <c r="C477" s="5" t="s">
        <v>622</v>
      </c>
      <c r="D477" s="5" t="s">
        <v>303</v>
      </c>
      <c r="E477" s="3">
        <v>0</v>
      </c>
      <c r="F477" s="3">
        <v>0</v>
      </c>
      <c r="G477" s="54">
        <f t="shared" si="100"/>
        <v>0</v>
      </c>
      <c r="H477" s="62">
        <f t="shared" si="105"/>
        <v>0</v>
      </c>
      <c r="I477" s="3">
        <f t="shared" si="102"/>
        <v>0</v>
      </c>
      <c r="J477" s="18">
        <f t="shared" si="103"/>
        <v>0</v>
      </c>
    </row>
    <row r="478" spans="2:10" x14ac:dyDescent="0.35">
      <c r="B478" s="32" t="s">
        <v>2544</v>
      </c>
      <c r="C478" s="5" t="s">
        <v>633</v>
      </c>
      <c r="D478" s="5" t="s">
        <v>634</v>
      </c>
      <c r="E478" s="3">
        <v>0</v>
      </c>
      <c r="F478" s="3">
        <v>0</v>
      </c>
      <c r="G478" s="54">
        <f t="shared" si="100"/>
        <v>0</v>
      </c>
      <c r="H478" s="62">
        <f t="shared" si="105"/>
        <v>0</v>
      </c>
      <c r="I478" s="3">
        <f t="shared" si="102"/>
        <v>0</v>
      </c>
      <c r="J478" s="18">
        <f t="shared" si="103"/>
        <v>0</v>
      </c>
    </row>
    <row r="479" spans="2:10" x14ac:dyDescent="0.35">
      <c r="B479" s="32" t="s">
        <v>2544</v>
      </c>
      <c r="C479" s="5" t="s">
        <v>602</v>
      </c>
      <c r="D479" s="5" t="s">
        <v>603</v>
      </c>
      <c r="E479" s="3">
        <v>15000</v>
      </c>
      <c r="F479" s="3">
        <v>0</v>
      </c>
      <c r="G479" s="54">
        <f t="shared" si="100"/>
        <v>0</v>
      </c>
      <c r="H479" s="62">
        <f t="shared" si="105"/>
        <v>0</v>
      </c>
      <c r="I479" s="3">
        <f t="shared" si="102"/>
        <v>0</v>
      </c>
      <c r="J479" s="18">
        <f t="shared" si="103"/>
        <v>0</v>
      </c>
    </row>
    <row r="480" spans="2:10" s="8" customFormat="1" x14ac:dyDescent="0.35">
      <c r="B480" s="33" t="s">
        <v>2546</v>
      </c>
      <c r="C480" s="5"/>
      <c r="D480" s="5"/>
      <c r="E480" s="10">
        <f>SUM(E444:E479)</f>
        <v>75000</v>
      </c>
      <c r="F480" s="10">
        <f t="shared" ref="F480:J480" si="106">SUM(F444:F479)</f>
        <v>17033.7</v>
      </c>
      <c r="G480" s="59">
        <f t="shared" si="106"/>
        <v>29200.628571428573</v>
      </c>
      <c r="H480" s="63">
        <f t="shared" si="106"/>
        <v>30952.666285714291</v>
      </c>
      <c r="I480" s="10">
        <f t="shared" si="106"/>
        <v>32655.062931428576</v>
      </c>
      <c r="J480" s="22">
        <f t="shared" si="106"/>
        <v>34385.781266794285</v>
      </c>
    </row>
    <row r="481" spans="1:10" s="8" customFormat="1" ht="9" customHeight="1" x14ac:dyDescent="0.35">
      <c r="B481" s="23"/>
      <c r="E481" s="39"/>
      <c r="F481" s="39"/>
      <c r="G481" s="39"/>
      <c r="H481" s="68"/>
      <c r="I481" s="39"/>
      <c r="J481" s="40"/>
    </row>
    <row r="482" spans="1:10" s="8" customFormat="1" ht="15" thickBot="1" x14ac:dyDescent="0.4">
      <c r="B482" s="35" t="s">
        <v>2548</v>
      </c>
      <c r="C482" s="25"/>
      <c r="D482" s="25"/>
      <c r="E482" s="26">
        <f>+E442+E480</f>
        <v>75000</v>
      </c>
      <c r="F482" s="26">
        <f t="shared" ref="F482:J482" si="107">+F442+F480</f>
        <v>16784.600000000002</v>
      </c>
      <c r="G482" s="60">
        <f t="shared" si="107"/>
        <v>28773.600000000002</v>
      </c>
      <c r="H482" s="65">
        <f t="shared" si="107"/>
        <v>30500.016000000007</v>
      </c>
      <c r="I482" s="26">
        <f t="shared" si="107"/>
        <v>32177.516880000006</v>
      </c>
      <c r="J482" s="27">
        <f t="shared" si="107"/>
        <v>33882.925274640002</v>
      </c>
    </row>
    <row r="483" spans="1:10" s="8" customFormat="1" x14ac:dyDescent="0.35">
      <c r="E483" s="9"/>
      <c r="F483" s="9"/>
      <c r="G483" s="9"/>
      <c r="H483" s="9"/>
      <c r="I483" s="9"/>
      <c r="J483" s="9"/>
    </row>
    <row r="484" spans="1:10" s="8" customFormat="1" x14ac:dyDescent="0.35">
      <c r="E484" s="9"/>
      <c r="F484" s="9"/>
      <c r="G484" s="9"/>
      <c r="H484" s="9"/>
      <c r="I484" s="9"/>
      <c r="J484" s="9"/>
    </row>
    <row r="485" spans="1:10" s="8" customFormat="1" ht="15" thickBot="1" x14ac:dyDescent="0.4">
      <c r="A485" s="12" t="s">
        <v>2591</v>
      </c>
      <c r="B485" s="28" t="s">
        <v>2561</v>
      </c>
      <c r="E485" s="9"/>
      <c r="F485" s="9"/>
      <c r="G485" s="9"/>
      <c r="H485" s="9"/>
      <c r="I485" s="9"/>
      <c r="J485" s="9"/>
    </row>
    <row r="486" spans="1:10" x14ac:dyDescent="0.35">
      <c r="B486" s="31" t="s">
        <v>2543</v>
      </c>
      <c r="C486" s="14" t="s">
        <v>644</v>
      </c>
      <c r="D486" s="14" t="s">
        <v>126</v>
      </c>
      <c r="E486" s="15">
        <v>0</v>
      </c>
      <c r="F486" s="15">
        <v>0</v>
      </c>
      <c r="G486" s="58">
        <f t="shared" ref="G486:G489" si="108">+F486/7*12</f>
        <v>0</v>
      </c>
      <c r="H486" s="61">
        <f>+G486*1.06</f>
        <v>0</v>
      </c>
      <c r="I486" s="15">
        <f>+H486*1.055</f>
        <v>0</v>
      </c>
      <c r="J486" s="16">
        <f>+I486*1.053</f>
        <v>0</v>
      </c>
    </row>
    <row r="487" spans="1:10" x14ac:dyDescent="0.35">
      <c r="B487" s="79"/>
      <c r="C487" s="80"/>
      <c r="D487" s="80" t="s">
        <v>2649</v>
      </c>
      <c r="E487" s="81"/>
      <c r="F487" s="81"/>
      <c r="G487" s="82"/>
      <c r="H487" s="83">
        <v>-1000000</v>
      </c>
      <c r="I487" s="81"/>
      <c r="J487" s="84"/>
    </row>
    <row r="488" spans="1:10" x14ac:dyDescent="0.35">
      <c r="B488" s="32" t="s">
        <v>2543</v>
      </c>
      <c r="C488" s="5" t="s">
        <v>645</v>
      </c>
      <c r="D488" s="5" t="s">
        <v>30</v>
      </c>
      <c r="E488" s="3">
        <v>0</v>
      </c>
      <c r="F488" s="3">
        <v>0</v>
      </c>
      <c r="G488" s="54">
        <f t="shared" si="108"/>
        <v>0</v>
      </c>
      <c r="H488" s="62">
        <f t="shared" ref="H488:H489" si="109">+G488*1.06</f>
        <v>0</v>
      </c>
      <c r="I488" s="3">
        <f t="shared" ref="I488:I489" si="110">+H488*1.055</f>
        <v>0</v>
      </c>
      <c r="J488" s="18">
        <f t="shared" ref="J488:J489" si="111">+I488*1.053</f>
        <v>0</v>
      </c>
    </row>
    <row r="489" spans="1:10" x14ac:dyDescent="0.35">
      <c r="B489" s="32" t="s">
        <v>2543</v>
      </c>
      <c r="C489" s="5" t="s">
        <v>646</v>
      </c>
      <c r="D489" s="5" t="s">
        <v>32</v>
      </c>
      <c r="E489" s="3">
        <v>0</v>
      </c>
      <c r="F489" s="3">
        <v>0</v>
      </c>
      <c r="G489" s="54">
        <f t="shared" si="108"/>
        <v>0</v>
      </c>
      <c r="H489" s="62">
        <f t="shared" si="109"/>
        <v>0</v>
      </c>
      <c r="I489" s="3">
        <f t="shared" si="110"/>
        <v>0</v>
      </c>
      <c r="J489" s="18">
        <f t="shared" si="111"/>
        <v>0</v>
      </c>
    </row>
    <row r="490" spans="1:10" s="8" customFormat="1" x14ac:dyDescent="0.35">
      <c r="B490" s="33" t="s">
        <v>2545</v>
      </c>
      <c r="C490" s="5"/>
      <c r="D490" s="5"/>
      <c r="E490" s="10">
        <f>SUM(E486:E489)</f>
        <v>0</v>
      </c>
      <c r="F490" s="10">
        <f t="shared" ref="F490:J490" si="112">SUM(F486:F489)</f>
        <v>0</v>
      </c>
      <c r="G490" s="59">
        <f t="shared" si="112"/>
        <v>0</v>
      </c>
      <c r="H490" s="63">
        <f t="shared" si="112"/>
        <v>-1000000</v>
      </c>
      <c r="I490" s="10">
        <f t="shared" si="112"/>
        <v>0</v>
      </c>
      <c r="J490" s="22">
        <f t="shared" si="112"/>
        <v>0</v>
      </c>
    </row>
    <row r="491" spans="1:10" s="8" customFormat="1" x14ac:dyDescent="0.35">
      <c r="B491" s="23"/>
      <c r="E491" s="9"/>
      <c r="F491" s="9"/>
      <c r="G491" s="9"/>
      <c r="H491" s="64"/>
      <c r="I491" s="9"/>
      <c r="J491" s="21"/>
    </row>
    <row r="492" spans="1:10" x14ac:dyDescent="0.35">
      <c r="B492" s="32" t="s">
        <v>2544</v>
      </c>
      <c r="C492" s="5" t="s">
        <v>652</v>
      </c>
      <c r="D492" s="5" t="s">
        <v>197</v>
      </c>
      <c r="E492" s="3">
        <v>0</v>
      </c>
      <c r="F492" s="3">
        <v>0</v>
      </c>
      <c r="G492" s="54">
        <f t="shared" ref="G492:G517" si="113">+F492/7*12</f>
        <v>0</v>
      </c>
      <c r="H492" s="62">
        <f>+G492*1.058</f>
        <v>0</v>
      </c>
      <c r="I492" s="3">
        <f t="shared" ref="I492:I517" si="114">+H492*1.055</f>
        <v>0</v>
      </c>
      <c r="J492" s="18">
        <f t="shared" ref="J492:J517" si="115">+I492*1.053</f>
        <v>0</v>
      </c>
    </row>
    <row r="493" spans="1:10" x14ac:dyDescent="0.35">
      <c r="B493" s="32" t="s">
        <v>2544</v>
      </c>
      <c r="C493" s="5" t="s">
        <v>660</v>
      </c>
      <c r="D493" s="5" t="s">
        <v>66</v>
      </c>
      <c r="E493" s="3">
        <v>0</v>
      </c>
      <c r="F493" s="3">
        <v>0</v>
      </c>
      <c r="G493" s="54">
        <f t="shared" si="113"/>
        <v>0</v>
      </c>
      <c r="H493" s="62">
        <f>+G493*1.06</f>
        <v>0</v>
      </c>
      <c r="I493" s="3">
        <f t="shared" si="114"/>
        <v>0</v>
      </c>
      <c r="J493" s="18">
        <f t="shared" si="115"/>
        <v>0</v>
      </c>
    </row>
    <row r="494" spans="1:10" x14ac:dyDescent="0.35">
      <c r="B494" s="32" t="s">
        <v>2544</v>
      </c>
      <c r="C494" s="5" t="s">
        <v>655</v>
      </c>
      <c r="D494" s="5" t="s">
        <v>46</v>
      </c>
      <c r="E494" s="3">
        <v>9155</v>
      </c>
      <c r="F494" s="3">
        <v>643.16</v>
      </c>
      <c r="G494" s="54">
        <f t="shared" si="113"/>
        <v>1102.56</v>
      </c>
      <c r="H494" s="62">
        <f>+G494*1.058</f>
        <v>1166.50848</v>
      </c>
      <c r="I494" s="3">
        <f t="shared" si="114"/>
        <v>1230.6664463999998</v>
      </c>
      <c r="J494" s="18">
        <f t="shared" si="115"/>
        <v>1295.8917680591996</v>
      </c>
    </row>
    <row r="495" spans="1:10" x14ac:dyDescent="0.35">
      <c r="B495" s="32" t="s">
        <v>2544</v>
      </c>
      <c r="C495" s="5" t="s">
        <v>648</v>
      </c>
      <c r="D495" s="5" t="s">
        <v>36</v>
      </c>
      <c r="E495" s="3">
        <v>76292</v>
      </c>
      <c r="F495" s="3">
        <v>138506.67000000001</v>
      </c>
      <c r="G495" s="54">
        <f t="shared" si="113"/>
        <v>237440.00571428577</v>
      </c>
      <c r="H495" s="62">
        <f>+G495*1.058</f>
        <v>251211.52604571436</v>
      </c>
      <c r="I495" s="3">
        <f t="shared" si="114"/>
        <v>265028.15997822862</v>
      </c>
      <c r="J495" s="18">
        <f t="shared" si="115"/>
        <v>279074.65245707473</v>
      </c>
    </row>
    <row r="496" spans="1:10" x14ac:dyDescent="0.35">
      <c r="B496" s="32" t="s">
        <v>2544</v>
      </c>
      <c r="C496" s="5" t="s">
        <v>664</v>
      </c>
      <c r="D496" s="5" t="s">
        <v>541</v>
      </c>
      <c r="E496" s="3">
        <v>0</v>
      </c>
      <c r="F496" s="3">
        <v>0</v>
      </c>
      <c r="G496" s="54">
        <f t="shared" si="113"/>
        <v>0</v>
      </c>
      <c r="H496" s="62">
        <f>+G496*1.06</f>
        <v>0</v>
      </c>
      <c r="I496" s="3">
        <f t="shared" si="114"/>
        <v>0</v>
      </c>
      <c r="J496" s="18">
        <f t="shared" si="115"/>
        <v>0</v>
      </c>
    </row>
    <row r="497" spans="2:14" x14ac:dyDescent="0.35">
      <c r="B497" s="32" t="s">
        <v>2544</v>
      </c>
      <c r="C497" s="5" t="s">
        <v>676</v>
      </c>
      <c r="D497" s="5" t="s">
        <v>124</v>
      </c>
      <c r="E497" s="3">
        <v>0</v>
      </c>
      <c r="F497" s="3">
        <v>0</v>
      </c>
      <c r="G497" s="54">
        <f t="shared" si="113"/>
        <v>0</v>
      </c>
      <c r="H497" s="62">
        <f>+G497*1.06</f>
        <v>0</v>
      </c>
      <c r="I497" s="3">
        <f t="shared" si="114"/>
        <v>0</v>
      </c>
      <c r="J497" s="18">
        <f t="shared" si="115"/>
        <v>0</v>
      </c>
    </row>
    <row r="498" spans="2:14" x14ac:dyDescent="0.35">
      <c r="B498" s="32" t="s">
        <v>2544</v>
      </c>
      <c r="C498" s="5" t="s">
        <v>659</v>
      </c>
      <c r="D498" s="5" t="s">
        <v>64</v>
      </c>
      <c r="E498" s="3">
        <v>10012000</v>
      </c>
      <c r="F498" s="3">
        <v>0</v>
      </c>
      <c r="G498" s="54">
        <f t="shared" si="113"/>
        <v>0</v>
      </c>
      <c r="H498" s="62">
        <f>+G498*1.06</f>
        <v>0</v>
      </c>
      <c r="I498" s="3">
        <f t="shared" si="114"/>
        <v>0</v>
      </c>
      <c r="J498" s="18">
        <f t="shared" si="115"/>
        <v>0</v>
      </c>
    </row>
    <row r="499" spans="2:14" x14ac:dyDescent="0.35">
      <c r="B499" s="32" t="s">
        <v>2544</v>
      </c>
      <c r="C499" s="5" t="s">
        <v>673</v>
      </c>
      <c r="D499" s="5" t="s">
        <v>674</v>
      </c>
      <c r="E499" s="3">
        <v>0</v>
      </c>
      <c r="F499" s="3">
        <v>0</v>
      </c>
      <c r="G499" s="54">
        <f t="shared" si="113"/>
        <v>0</v>
      </c>
      <c r="H499" s="62">
        <f>+G499*1.06</f>
        <v>0</v>
      </c>
      <c r="I499" s="3">
        <f t="shared" si="114"/>
        <v>0</v>
      </c>
      <c r="J499" s="18">
        <f t="shared" si="115"/>
        <v>0</v>
      </c>
    </row>
    <row r="500" spans="2:14" x14ac:dyDescent="0.35">
      <c r="B500" s="32" t="s">
        <v>2544</v>
      </c>
      <c r="C500" s="5" t="s">
        <v>665</v>
      </c>
      <c r="D500" s="5" t="s">
        <v>2650</v>
      </c>
      <c r="E500" s="3">
        <v>120000</v>
      </c>
      <c r="F500" s="3">
        <f>34517.06-6.24</f>
        <v>34510.82</v>
      </c>
      <c r="G500" s="54">
        <f t="shared" si="113"/>
        <v>59161.405714285705</v>
      </c>
      <c r="H500" s="75">
        <v>65000</v>
      </c>
      <c r="I500" s="3">
        <f t="shared" si="114"/>
        <v>68575</v>
      </c>
      <c r="J500" s="18">
        <f t="shared" si="115"/>
        <v>72209.474999999991</v>
      </c>
    </row>
    <row r="501" spans="2:14" x14ac:dyDescent="0.35">
      <c r="B501" s="32" t="s">
        <v>2544</v>
      </c>
      <c r="C501" s="5" t="s">
        <v>661</v>
      </c>
      <c r="D501" s="5" t="s">
        <v>68</v>
      </c>
      <c r="E501" s="3">
        <v>0</v>
      </c>
      <c r="F501" s="3">
        <v>0</v>
      </c>
      <c r="G501" s="54">
        <f t="shared" si="113"/>
        <v>0</v>
      </c>
      <c r="H501" s="62">
        <f>+G501*1.06</f>
        <v>0</v>
      </c>
      <c r="I501" s="3">
        <f t="shared" si="114"/>
        <v>0</v>
      </c>
      <c r="J501" s="18">
        <f t="shared" si="115"/>
        <v>0</v>
      </c>
    </row>
    <row r="502" spans="2:14" x14ac:dyDescent="0.35">
      <c r="B502" s="32" t="s">
        <v>2544</v>
      </c>
      <c r="C502" s="5" t="s">
        <v>662</v>
      </c>
      <c r="D502" s="5" t="s">
        <v>90</v>
      </c>
      <c r="E502" s="3">
        <v>6000</v>
      </c>
      <c r="F502" s="3">
        <v>6000</v>
      </c>
      <c r="G502" s="54">
        <f t="shared" si="113"/>
        <v>10285.714285714286</v>
      </c>
      <c r="H502" s="62">
        <f>+G502*1.06</f>
        <v>10902.857142857143</v>
      </c>
      <c r="I502" s="3">
        <f t="shared" si="114"/>
        <v>11502.514285714286</v>
      </c>
      <c r="J502" s="18">
        <f t="shared" si="115"/>
        <v>12112.147542857141</v>
      </c>
      <c r="N502">
        <f>364320/4*6</f>
        <v>546480</v>
      </c>
    </row>
    <row r="503" spans="2:14" x14ac:dyDescent="0.35">
      <c r="B503" s="32"/>
      <c r="C503" s="5" t="s">
        <v>658</v>
      </c>
      <c r="D503" s="5" t="s">
        <v>52</v>
      </c>
      <c r="E503" s="3">
        <v>0</v>
      </c>
      <c r="F503" s="3">
        <v>9858.07</v>
      </c>
      <c r="G503" s="54">
        <f t="shared" si="113"/>
        <v>16899.548571428571</v>
      </c>
      <c r="H503" s="62">
        <f>+G503*1.058</f>
        <v>17879.72238857143</v>
      </c>
      <c r="I503" s="3">
        <f t="shared" si="114"/>
        <v>18863.107119942859</v>
      </c>
      <c r="J503" s="18">
        <f t="shared" si="115"/>
        <v>19862.851797299831</v>
      </c>
    </row>
    <row r="504" spans="2:14" x14ac:dyDescent="0.35">
      <c r="B504" s="32" t="s">
        <v>2544</v>
      </c>
      <c r="C504" s="5" t="s">
        <v>675</v>
      </c>
      <c r="D504" s="5" t="s">
        <v>120</v>
      </c>
      <c r="E504" s="3">
        <v>0</v>
      </c>
      <c r="F504" s="3">
        <v>0</v>
      </c>
      <c r="G504" s="54">
        <f t="shared" si="113"/>
        <v>0</v>
      </c>
      <c r="H504" s="62">
        <f>+G504*1.06</f>
        <v>0</v>
      </c>
      <c r="I504" s="3">
        <f t="shared" si="114"/>
        <v>0</v>
      </c>
      <c r="J504" s="18">
        <f t="shared" si="115"/>
        <v>0</v>
      </c>
    </row>
    <row r="505" spans="2:14" x14ac:dyDescent="0.35">
      <c r="B505" s="32" t="s">
        <v>2544</v>
      </c>
      <c r="C505" s="5" t="s">
        <v>668</v>
      </c>
      <c r="D505" s="5" t="s">
        <v>2652</v>
      </c>
      <c r="E505" s="3">
        <v>1750</v>
      </c>
      <c r="F505" s="3">
        <v>0</v>
      </c>
      <c r="G505" s="54">
        <f t="shared" si="113"/>
        <v>0</v>
      </c>
      <c r="H505" s="75">
        <v>40000</v>
      </c>
      <c r="I505" s="3">
        <f t="shared" si="114"/>
        <v>42200</v>
      </c>
      <c r="J505" s="18">
        <f t="shared" si="115"/>
        <v>44436.6</v>
      </c>
    </row>
    <row r="506" spans="2:14" x14ac:dyDescent="0.35">
      <c r="B506" s="32" t="s">
        <v>2544</v>
      </c>
      <c r="C506" s="5" t="s">
        <v>672</v>
      </c>
      <c r="D506" s="5" t="s">
        <v>2654</v>
      </c>
      <c r="E506" s="3">
        <v>12000</v>
      </c>
      <c r="F506" s="3">
        <v>5515.67</v>
      </c>
      <c r="G506" s="54">
        <f t="shared" si="113"/>
        <v>9455.4342857142856</v>
      </c>
      <c r="H506" s="75">
        <f>139720-30000-5200</f>
        <v>104520</v>
      </c>
      <c r="I506" s="3">
        <f t="shared" si="114"/>
        <v>110268.59999999999</v>
      </c>
      <c r="J506" s="18">
        <f t="shared" si="115"/>
        <v>116112.83579999999</v>
      </c>
    </row>
    <row r="507" spans="2:14" x14ac:dyDescent="0.35">
      <c r="B507" s="32" t="s">
        <v>2544</v>
      </c>
      <c r="C507" s="5" t="s">
        <v>670</v>
      </c>
      <c r="D507" s="5" t="s">
        <v>2653</v>
      </c>
      <c r="E507" s="3">
        <v>100000</v>
      </c>
      <c r="F507" s="3">
        <v>38512.81</v>
      </c>
      <c r="G507" s="54">
        <f t="shared" si="113"/>
        <v>66021.959999999992</v>
      </c>
      <c r="H507" s="75">
        <v>99000</v>
      </c>
      <c r="I507" s="3">
        <f t="shared" si="114"/>
        <v>104445</v>
      </c>
      <c r="J507" s="18">
        <f t="shared" si="115"/>
        <v>109980.58499999999</v>
      </c>
    </row>
    <row r="508" spans="2:14" x14ac:dyDescent="0.35">
      <c r="B508" s="32" t="s">
        <v>2544</v>
      </c>
      <c r="C508" s="5" t="s">
        <v>656</v>
      </c>
      <c r="D508" s="5" t="s">
        <v>48</v>
      </c>
      <c r="E508" s="3">
        <v>0</v>
      </c>
      <c r="F508" s="3">
        <v>0</v>
      </c>
      <c r="G508" s="54">
        <f t="shared" si="113"/>
        <v>0</v>
      </c>
      <c r="H508" s="62">
        <f>+G508*1.058</f>
        <v>0</v>
      </c>
      <c r="I508" s="3">
        <f t="shared" si="114"/>
        <v>0</v>
      </c>
      <c r="J508" s="18">
        <f t="shared" si="115"/>
        <v>0</v>
      </c>
    </row>
    <row r="509" spans="2:14" x14ac:dyDescent="0.35">
      <c r="B509" s="32" t="s">
        <v>2544</v>
      </c>
      <c r="C509" s="5" t="s">
        <v>663</v>
      </c>
      <c r="D509" s="5" t="s">
        <v>440</v>
      </c>
      <c r="E509" s="3">
        <v>9000</v>
      </c>
      <c r="F509" s="3">
        <v>4549.4399999999996</v>
      </c>
      <c r="G509" s="54">
        <f t="shared" si="113"/>
        <v>7799.0399999999991</v>
      </c>
      <c r="H509" s="75">
        <v>25000</v>
      </c>
      <c r="I509" s="3">
        <f t="shared" si="114"/>
        <v>26375</v>
      </c>
      <c r="J509" s="18">
        <f t="shared" si="115"/>
        <v>27772.875</v>
      </c>
    </row>
    <row r="510" spans="2:14" x14ac:dyDescent="0.35">
      <c r="B510" s="32" t="s">
        <v>2544</v>
      </c>
      <c r="C510" s="5" t="s">
        <v>649</v>
      </c>
      <c r="D510" s="5" t="s">
        <v>38</v>
      </c>
      <c r="E510" s="3">
        <v>93975</v>
      </c>
      <c r="F510" s="3">
        <v>47932.13</v>
      </c>
      <c r="G510" s="54">
        <f t="shared" si="113"/>
        <v>82169.365714285712</v>
      </c>
      <c r="H510" s="62">
        <f>+G510*1.058</f>
        <v>86935.18892571429</v>
      </c>
      <c r="I510" s="3">
        <f t="shared" si="114"/>
        <v>91716.624316628571</v>
      </c>
      <c r="J510" s="18">
        <f t="shared" si="115"/>
        <v>96577.605405409879</v>
      </c>
    </row>
    <row r="511" spans="2:14" x14ac:dyDescent="0.35">
      <c r="B511" s="32" t="s">
        <v>2544</v>
      </c>
      <c r="C511" s="5" t="s">
        <v>653</v>
      </c>
      <c r="D511" s="5" t="s">
        <v>42</v>
      </c>
      <c r="E511" s="3">
        <v>121211</v>
      </c>
      <c r="F511" s="3">
        <v>102544.4</v>
      </c>
      <c r="G511" s="54">
        <f t="shared" si="113"/>
        <v>175790.4</v>
      </c>
      <c r="H511" s="62">
        <f>+G511*1.058</f>
        <v>185986.2432</v>
      </c>
      <c r="I511" s="3">
        <f t="shared" si="114"/>
        <v>196215.486576</v>
      </c>
      <c r="J511" s="18">
        <f t="shared" si="115"/>
        <v>206614.90736452799</v>
      </c>
    </row>
    <row r="512" spans="2:14" x14ac:dyDescent="0.35">
      <c r="B512" s="32" t="s">
        <v>2544</v>
      </c>
      <c r="C512" s="5" t="s">
        <v>647</v>
      </c>
      <c r="D512" s="5" t="s">
        <v>34</v>
      </c>
      <c r="E512" s="3">
        <v>915509</v>
      </c>
      <c r="F512" s="3">
        <f>878752.06-3408.41</f>
        <v>875343.65</v>
      </c>
      <c r="G512" s="54">
        <f t="shared" si="113"/>
        <v>1500589.1142857145</v>
      </c>
      <c r="H512" s="62">
        <f>+G512*1.058</f>
        <v>1587623.282914286</v>
      </c>
      <c r="I512" s="3">
        <f t="shared" si="114"/>
        <v>1674942.5634745716</v>
      </c>
      <c r="J512" s="18">
        <f t="shared" si="115"/>
        <v>1763714.5193387237</v>
      </c>
    </row>
    <row r="513" spans="1:11" x14ac:dyDescent="0.35">
      <c r="B513" s="32" t="s">
        <v>2544</v>
      </c>
      <c r="C513" s="5" t="s">
        <v>657</v>
      </c>
      <c r="D513" s="5" t="s">
        <v>50</v>
      </c>
      <c r="E513" s="3">
        <v>9155</v>
      </c>
      <c r="F513" s="3">
        <v>15834.72</v>
      </c>
      <c r="G513" s="54">
        <f t="shared" si="113"/>
        <v>27145.234285714283</v>
      </c>
      <c r="H513" s="62">
        <f>+G513*1.058</f>
        <v>28719.657874285713</v>
      </c>
      <c r="I513" s="3">
        <f t="shared" si="114"/>
        <v>30299.239057371426</v>
      </c>
      <c r="J513" s="18">
        <f t="shared" si="115"/>
        <v>31905.098727412111</v>
      </c>
    </row>
    <row r="514" spans="1:11" x14ac:dyDescent="0.35">
      <c r="B514" s="32" t="s">
        <v>2544</v>
      </c>
      <c r="C514" s="5" t="s">
        <v>651</v>
      </c>
      <c r="D514" s="5" t="s">
        <v>526</v>
      </c>
      <c r="E514" s="3">
        <v>39512</v>
      </c>
      <c r="F514" s="3">
        <v>18543.27</v>
      </c>
      <c r="G514" s="54">
        <f t="shared" si="113"/>
        <v>31788.462857142862</v>
      </c>
      <c r="H514" s="62">
        <f>+G514*1.058</f>
        <v>33632.193702857148</v>
      </c>
      <c r="I514" s="3">
        <f t="shared" si="114"/>
        <v>35481.964356514291</v>
      </c>
      <c r="J514" s="18">
        <f t="shared" si="115"/>
        <v>37362.508467409549</v>
      </c>
    </row>
    <row r="515" spans="1:11" x14ac:dyDescent="0.35">
      <c r="B515" s="32" t="s">
        <v>2544</v>
      </c>
      <c r="C515" s="5" t="s">
        <v>666</v>
      </c>
      <c r="D515" s="5" t="s">
        <v>2651</v>
      </c>
      <c r="E515" s="3">
        <v>10000</v>
      </c>
      <c r="F515" s="3">
        <v>48.4</v>
      </c>
      <c r="G515" s="54">
        <f t="shared" si="113"/>
        <v>82.971428571428561</v>
      </c>
      <c r="H515" s="75">
        <v>70000</v>
      </c>
      <c r="I515" s="3">
        <f t="shared" si="114"/>
        <v>73850</v>
      </c>
      <c r="J515" s="18">
        <f t="shared" si="115"/>
        <v>77764.049999999988</v>
      </c>
      <c r="K515" s="2"/>
    </row>
    <row r="516" spans="1:11" x14ac:dyDescent="0.35">
      <c r="B516" s="32" t="s">
        <v>2544</v>
      </c>
      <c r="C516" s="5" t="s">
        <v>650</v>
      </c>
      <c r="D516" s="5" t="s">
        <v>40</v>
      </c>
      <c r="E516" s="3">
        <v>0</v>
      </c>
      <c r="F516" s="3">
        <v>0</v>
      </c>
      <c r="G516" s="54">
        <f t="shared" si="113"/>
        <v>0</v>
      </c>
      <c r="H516" s="62">
        <f>+G516*1.058</f>
        <v>0</v>
      </c>
      <c r="I516" s="3">
        <f t="shared" si="114"/>
        <v>0</v>
      </c>
      <c r="J516" s="18">
        <f t="shared" si="115"/>
        <v>0</v>
      </c>
    </row>
    <row r="517" spans="1:11" x14ac:dyDescent="0.35">
      <c r="B517" s="32" t="s">
        <v>2544</v>
      </c>
      <c r="C517" s="5" t="s">
        <v>654</v>
      </c>
      <c r="D517" s="5" t="s">
        <v>44</v>
      </c>
      <c r="E517" s="3">
        <v>9155</v>
      </c>
      <c r="F517" s="3">
        <v>8903.8799999999992</v>
      </c>
      <c r="G517" s="54">
        <f t="shared" si="113"/>
        <v>15263.794285714284</v>
      </c>
      <c r="H517" s="62">
        <f>+G517*1.058</f>
        <v>16149.094354285713</v>
      </c>
      <c r="I517" s="3">
        <f t="shared" si="114"/>
        <v>17037.294543771426</v>
      </c>
      <c r="J517" s="18">
        <f t="shared" si="115"/>
        <v>17940.271154591312</v>
      </c>
    </row>
    <row r="518" spans="1:11" x14ac:dyDescent="0.35">
      <c r="B518" s="32" t="s">
        <v>2544</v>
      </c>
      <c r="C518" s="5"/>
      <c r="D518" s="5" t="s">
        <v>2655</v>
      </c>
      <c r="E518" s="3"/>
      <c r="F518" s="3"/>
      <c r="G518" s="54"/>
      <c r="H518" s="75">
        <f>546480+50000</f>
        <v>596480</v>
      </c>
      <c r="I518" s="3"/>
      <c r="J518" s="18"/>
    </row>
    <row r="519" spans="1:11" s="8" customFormat="1" x14ac:dyDescent="0.35">
      <c r="B519" s="33" t="s">
        <v>2546</v>
      </c>
      <c r="C519" s="5"/>
      <c r="D519" s="5"/>
      <c r="E519" s="10">
        <f>SUM(E492:E518)</f>
        <v>11544714</v>
      </c>
      <c r="F519" s="10">
        <f t="shared" ref="F519:J519" si="116">SUM(F492:F518)</f>
        <v>1307247.0899999999</v>
      </c>
      <c r="G519" s="59">
        <f t="shared" si="116"/>
        <v>2240995.0114285713</v>
      </c>
      <c r="H519" s="63">
        <f t="shared" si="116"/>
        <v>3220206.275028572</v>
      </c>
      <c r="I519" s="10">
        <f t="shared" si="116"/>
        <v>2768031.2201551432</v>
      </c>
      <c r="J519" s="22">
        <f t="shared" si="116"/>
        <v>2914736.8748233654</v>
      </c>
    </row>
    <row r="520" spans="1:11" s="8" customFormat="1" ht="8.25" customHeight="1" x14ac:dyDescent="0.35">
      <c r="B520" s="23"/>
      <c r="E520" s="39"/>
      <c r="F520" s="39"/>
      <c r="G520" s="39"/>
      <c r="H520" s="68"/>
      <c r="I520" s="39"/>
      <c r="J520" s="40"/>
    </row>
    <row r="521" spans="1:11" s="8" customFormat="1" ht="15" thickBot="1" x14ac:dyDescent="0.4">
      <c r="B521" s="35" t="s">
        <v>2548</v>
      </c>
      <c r="C521" s="25"/>
      <c r="D521" s="25"/>
      <c r="E521" s="26">
        <f>+E490+E519</f>
        <v>11544714</v>
      </c>
      <c r="F521" s="26">
        <f t="shared" ref="F521:J521" si="117">+F490+F519</f>
        <v>1307247.0899999999</v>
      </c>
      <c r="G521" s="60">
        <f t="shared" si="117"/>
        <v>2240995.0114285713</v>
      </c>
      <c r="H521" s="65">
        <f t="shared" si="117"/>
        <v>2220206.275028572</v>
      </c>
      <c r="I521" s="26">
        <f t="shared" si="117"/>
        <v>2768031.2201551432</v>
      </c>
      <c r="J521" s="27">
        <f t="shared" si="117"/>
        <v>2914736.8748233654</v>
      </c>
    </row>
    <row r="522" spans="1:11" s="8" customFormat="1" x14ac:dyDescent="0.35">
      <c r="E522" s="9"/>
      <c r="F522" s="9"/>
      <c r="G522" s="9"/>
      <c r="H522" s="9"/>
      <c r="I522" s="9"/>
      <c r="J522" s="9"/>
    </row>
    <row r="523" spans="1:11" s="8" customFormat="1" x14ac:dyDescent="0.35">
      <c r="E523" s="9"/>
      <c r="F523" s="9"/>
      <c r="G523" s="9"/>
      <c r="H523" s="9"/>
      <c r="I523" s="9"/>
      <c r="J523" s="9"/>
    </row>
    <row r="524" spans="1:11" s="8" customFormat="1" ht="15" thickBot="1" x14ac:dyDescent="0.4">
      <c r="A524" s="28" t="s">
        <v>2564</v>
      </c>
      <c r="B524" s="28" t="s">
        <v>2564</v>
      </c>
      <c r="E524" s="9"/>
      <c r="F524" s="9"/>
      <c r="G524" s="9"/>
      <c r="H524" s="9"/>
      <c r="I524" s="9"/>
      <c r="J524" s="9"/>
    </row>
    <row r="525" spans="1:11" x14ac:dyDescent="0.35">
      <c r="B525" s="31" t="s">
        <v>2543</v>
      </c>
      <c r="C525" s="14" t="s">
        <v>701</v>
      </c>
      <c r="D525" s="14" t="s">
        <v>702</v>
      </c>
      <c r="E525" s="15">
        <v>-5691670</v>
      </c>
      <c r="F525" s="15">
        <f>26771.7-3190555.23</f>
        <v>-3163783.53</v>
      </c>
      <c r="G525" s="58">
        <f t="shared" ref="G525:G535" si="118">+F525/7*12</f>
        <v>-5423628.9085714277</v>
      </c>
      <c r="H525" s="61">
        <f>+G525*1.1269</f>
        <v>-6111887.4170691418</v>
      </c>
      <c r="I525" s="15">
        <f>+H525*1.055</f>
        <v>-6448041.2250079438</v>
      </c>
      <c r="J525" s="16">
        <f>+I525*1.053</f>
        <v>-6789787.409933364</v>
      </c>
    </row>
    <row r="526" spans="1:11" x14ac:dyDescent="0.35">
      <c r="B526" s="32" t="s">
        <v>2543</v>
      </c>
      <c r="C526" s="5" t="s">
        <v>703</v>
      </c>
      <c r="D526" s="5" t="s">
        <v>704</v>
      </c>
      <c r="E526" s="3">
        <v>-3275395</v>
      </c>
      <c r="F526" s="3">
        <f>398.66-1969833.4</f>
        <v>-1969434.74</v>
      </c>
      <c r="G526" s="54">
        <f t="shared" si="118"/>
        <v>-3376173.84</v>
      </c>
      <c r="H526" s="62">
        <f t="shared" ref="H526" si="119">+G526*1.1269</f>
        <v>-3804610.3002959997</v>
      </c>
      <c r="I526" s="3">
        <f t="shared" ref="I526:I535" si="120">+H526*1.055</f>
        <v>-4013863.8668122794</v>
      </c>
      <c r="J526" s="18">
        <f t="shared" ref="J526:J535" si="121">+I526*1.053</f>
        <v>-4226598.6517533297</v>
      </c>
    </row>
    <row r="527" spans="1:11" x14ac:dyDescent="0.35">
      <c r="B527" s="32" t="s">
        <v>2543</v>
      </c>
      <c r="C527" s="5" t="s">
        <v>705</v>
      </c>
      <c r="D527" s="5" t="s">
        <v>706</v>
      </c>
      <c r="E527" s="3">
        <v>232569</v>
      </c>
      <c r="F527" s="3">
        <v>165327.53</v>
      </c>
      <c r="G527" s="54">
        <f t="shared" si="118"/>
        <v>283418.62285714282</v>
      </c>
      <c r="H527" s="62"/>
      <c r="I527" s="3">
        <f t="shared" si="120"/>
        <v>0</v>
      </c>
      <c r="J527" s="18">
        <f t="shared" si="121"/>
        <v>0</v>
      </c>
    </row>
    <row r="528" spans="1:11" x14ac:dyDescent="0.35">
      <c r="B528" s="32" t="s">
        <v>2543</v>
      </c>
      <c r="C528" s="5" t="s">
        <v>707</v>
      </c>
      <c r="D528" s="5" t="s">
        <v>708</v>
      </c>
      <c r="E528" s="3">
        <v>-20000</v>
      </c>
      <c r="F528" s="3">
        <f>228.42-1860</f>
        <v>-1631.58</v>
      </c>
      <c r="G528" s="54">
        <f t="shared" si="118"/>
        <v>-2796.9942857142855</v>
      </c>
      <c r="H528" s="75">
        <v>-20000</v>
      </c>
      <c r="I528" s="3">
        <f t="shared" si="120"/>
        <v>-21100</v>
      </c>
      <c r="J528" s="18">
        <f t="shared" si="121"/>
        <v>-22218.3</v>
      </c>
    </row>
    <row r="529" spans="2:10" x14ac:dyDescent="0.35">
      <c r="B529" s="32" t="s">
        <v>2543</v>
      </c>
      <c r="C529" s="5" t="s">
        <v>709</v>
      </c>
      <c r="D529" s="5" t="s">
        <v>710</v>
      </c>
      <c r="E529" s="3">
        <v>-25000</v>
      </c>
      <c r="F529" s="3">
        <f>7225.56-58840</f>
        <v>-51614.44</v>
      </c>
      <c r="G529" s="54">
        <f t="shared" si="118"/>
        <v>-88481.897142857139</v>
      </c>
      <c r="H529" s="75">
        <v>-50000</v>
      </c>
      <c r="I529" s="3">
        <f t="shared" si="120"/>
        <v>-52750</v>
      </c>
      <c r="J529" s="18">
        <f t="shared" si="121"/>
        <v>-55545.75</v>
      </c>
    </row>
    <row r="530" spans="2:10" x14ac:dyDescent="0.35">
      <c r="B530" s="32" t="s">
        <v>2543</v>
      </c>
      <c r="C530" s="11"/>
      <c r="D530" s="11" t="s">
        <v>2626</v>
      </c>
      <c r="E530" s="3">
        <v>0</v>
      </c>
      <c r="F530" s="3">
        <v>0</v>
      </c>
      <c r="G530" s="54">
        <f t="shared" si="118"/>
        <v>0</v>
      </c>
      <c r="H530" s="75">
        <v>-30000</v>
      </c>
      <c r="I530" s="3">
        <f t="shared" si="120"/>
        <v>-31649.999999999996</v>
      </c>
      <c r="J530" s="18">
        <f t="shared" si="121"/>
        <v>-33327.449999999997</v>
      </c>
    </row>
    <row r="531" spans="2:10" x14ac:dyDescent="0.35">
      <c r="B531" s="32"/>
      <c r="C531" s="11"/>
      <c r="D531" s="11" t="s">
        <v>2627</v>
      </c>
      <c r="E531" s="3"/>
      <c r="F531" s="3"/>
      <c r="G531" s="54"/>
      <c r="H531" s="75">
        <v>-30000</v>
      </c>
      <c r="I531" s="3">
        <f t="shared" si="120"/>
        <v>-31649.999999999996</v>
      </c>
      <c r="J531" s="18">
        <f t="shared" si="121"/>
        <v>-33327.449999999997</v>
      </c>
    </row>
    <row r="532" spans="2:10" x14ac:dyDescent="0.35">
      <c r="B532" s="32" t="s">
        <v>2543</v>
      </c>
      <c r="C532" s="5" t="s">
        <v>712</v>
      </c>
      <c r="D532" s="5" t="s">
        <v>16</v>
      </c>
      <c r="E532" s="3">
        <v>-1900000</v>
      </c>
      <c r="F532" s="3">
        <v>0</v>
      </c>
      <c r="G532" s="54">
        <f t="shared" si="118"/>
        <v>0</v>
      </c>
      <c r="H532" s="62">
        <f t="shared" ref="H532:H534" si="122">+G532*1.06</f>
        <v>0</v>
      </c>
      <c r="I532" s="3">
        <f t="shared" si="120"/>
        <v>0</v>
      </c>
      <c r="J532" s="18">
        <f t="shared" si="121"/>
        <v>0</v>
      </c>
    </row>
    <row r="533" spans="2:10" x14ac:dyDescent="0.35">
      <c r="B533" s="32" t="s">
        <v>2543</v>
      </c>
      <c r="C533" s="5" t="s">
        <v>713</v>
      </c>
      <c r="D533" s="5" t="s">
        <v>714</v>
      </c>
      <c r="E533" s="3">
        <v>0</v>
      </c>
      <c r="F533" s="3">
        <v>0</v>
      </c>
      <c r="G533" s="54">
        <f t="shared" si="118"/>
        <v>0</v>
      </c>
      <c r="H533" s="62">
        <f t="shared" si="122"/>
        <v>0</v>
      </c>
      <c r="I533" s="3">
        <f t="shared" si="120"/>
        <v>0</v>
      </c>
      <c r="J533" s="18">
        <f t="shared" si="121"/>
        <v>0</v>
      </c>
    </row>
    <row r="534" spans="2:10" x14ac:dyDescent="0.35">
      <c r="B534" s="32" t="s">
        <v>2543</v>
      </c>
      <c r="C534" s="5" t="s">
        <v>715</v>
      </c>
      <c r="D534" s="5" t="s">
        <v>30</v>
      </c>
      <c r="E534" s="3">
        <v>0</v>
      </c>
      <c r="F534" s="3">
        <v>0</v>
      </c>
      <c r="G534" s="54">
        <f t="shared" si="118"/>
        <v>0</v>
      </c>
      <c r="H534" s="62">
        <f t="shared" si="122"/>
        <v>0</v>
      </c>
      <c r="I534" s="3">
        <f t="shared" si="120"/>
        <v>0</v>
      </c>
      <c r="J534" s="18">
        <f t="shared" si="121"/>
        <v>0</v>
      </c>
    </row>
    <row r="535" spans="2:10" x14ac:dyDescent="0.35">
      <c r="B535" s="32" t="s">
        <v>2543</v>
      </c>
      <c r="C535" s="5" t="s">
        <v>716</v>
      </c>
      <c r="D535" s="5" t="s">
        <v>32</v>
      </c>
      <c r="E535" s="3">
        <v>0</v>
      </c>
      <c r="F535" s="3">
        <v>0</v>
      </c>
      <c r="G535" s="54">
        <f t="shared" si="118"/>
        <v>0</v>
      </c>
      <c r="H535" s="62">
        <v>-50000</v>
      </c>
      <c r="I535" s="3">
        <f t="shared" si="120"/>
        <v>-52750</v>
      </c>
      <c r="J535" s="18">
        <f t="shared" si="121"/>
        <v>-55545.75</v>
      </c>
    </row>
    <row r="536" spans="2:10" s="8" customFormat="1" x14ac:dyDescent="0.35">
      <c r="B536" s="33" t="s">
        <v>2545</v>
      </c>
      <c r="C536" s="5"/>
      <c r="D536" s="5"/>
      <c r="E536" s="10">
        <f>SUM(E525:E535)</f>
        <v>-10679496</v>
      </c>
      <c r="F536" s="10">
        <f t="shared" ref="F536:J536" si="123">SUM(F525:F535)</f>
        <v>-5021136.76</v>
      </c>
      <c r="G536" s="59">
        <f t="shared" si="123"/>
        <v>-8607663.0171428565</v>
      </c>
      <c r="H536" s="63">
        <f t="shared" si="123"/>
        <v>-10096497.717365142</v>
      </c>
      <c r="I536" s="10">
        <f t="shared" si="123"/>
        <v>-10651805.091820223</v>
      </c>
      <c r="J536" s="22">
        <f t="shared" si="123"/>
        <v>-11216350.761686694</v>
      </c>
    </row>
    <row r="537" spans="2:10" s="8" customFormat="1" x14ac:dyDescent="0.35">
      <c r="B537" s="23"/>
      <c r="E537" s="9"/>
      <c r="F537" s="9"/>
      <c r="G537" s="9"/>
      <c r="H537" s="64"/>
      <c r="I537" s="9"/>
      <c r="J537" s="21"/>
    </row>
    <row r="538" spans="2:10" x14ac:dyDescent="0.35">
      <c r="B538" s="32" t="s">
        <v>2544</v>
      </c>
      <c r="C538" s="5" t="s">
        <v>722</v>
      </c>
      <c r="D538" s="5" t="s">
        <v>197</v>
      </c>
      <c r="E538" s="3">
        <v>0</v>
      </c>
      <c r="F538" s="3">
        <v>0</v>
      </c>
      <c r="G538" s="54">
        <f t="shared" ref="G538:G544" si="124">+F538/7*12</f>
        <v>0</v>
      </c>
      <c r="H538" s="75">
        <f>+G538*1.058</f>
        <v>0</v>
      </c>
      <c r="I538" s="3">
        <f t="shared" ref="I538:I544" si="125">+H538*1.055</f>
        <v>0</v>
      </c>
      <c r="J538" s="18">
        <f t="shared" ref="J538:J544" si="126">+I538*1.053</f>
        <v>0</v>
      </c>
    </row>
    <row r="539" spans="2:10" x14ac:dyDescent="0.35">
      <c r="B539" s="32" t="s">
        <v>2544</v>
      </c>
      <c r="C539" s="5" t="s">
        <v>759</v>
      </c>
      <c r="D539" s="5" t="s">
        <v>760</v>
      </c>
      <c r="E539" s="3">
        <v>2546267</v>
      </c>
      <c r="F539" s="3">
        <v>0</v>
      </c>
      <c r="G539" s="54">
        <f t="shared" si="124"/>
        <v>0</v>
      </c>
      <c r="H539" s="62">
        <f>+G539*1.06</f>
        <v>0</v>
      </c>
      <c r="I539" s="3">
        <f t="shared" si="125"/>
        <v>0</v>
      </c>
      <c r="J539" s="18">
        <f t="shared" si="126"/>
        <v>0</v>
      </c>
    </row>
    <row r="540" spans="2:10" x14ac:dyDescent="0.35">
      <c r="B540" s="32" t="s">
        <v>2544</v>
      </c>
      <c r="C540" s="5" t="s">
        <v>732</v>
      </c>
      <c r="D540" s="5" t="s">
        <v>66</v>
      </c>
      <c r="E540" s="3">
        <v>0</v>
      </c>
      <c r="F540" s="3">
        <v>0</v>
      </c>
      <c r="G540" s="54">
        <f t="shared" si="124"/>
        <v>0</v>
      </c>
      <c r="H540" s="62">
        <f>+G540*1.06</f>
        <v>0</v>
      </c>
      <c r="I540" s="3">
        <f t="shared" si="125"/>
        <v>0</v>
      </c>
      <c r="J540" s="18">
        <f t="shared" si="126"/>
        <v>0</v>
      </c>
    </row>
    <row r="541" spans="2:10" x14ac:dyDescent="0.35">
      <c r="B541" s="32" t="s">
        <v>2544</v>
      </c>
      <c r="C541" s="5" t="s">
        <v>725</v>
      </c>
      <c r="D541" s="5" t="s">
        <v>46</v>
      </c>
      <c r="E541" s="3">
        <v>4612</v>
      </c>
      <c r="F541" s="3">
        <v>168.56</v>
      </c>
      <c r="G541" s="54">
        <f t="shared" si="124"/>
        <v>288.96000000000004</v>
      </c>
      <c r="H541" s="75">
        <f>+G541*1.058</f>
        <v>305.71968000000004</v>
      </c>
      <c r="I541" s="3">
        <f t="shared" si="125"/>
        <v>322.53426240000005</v>
      </c>
      <c r="J541" s="18">
        <f t="shared" si="126"/>
        <v>339.62857830720003</v>
      </c>
    </row>
    <row r="542" spans="2:10" x14ac:dyDescent="0.35">
      <c r="B542" s="32" t="s">
        <v>2544</v>
      </c>
      <c r="C542" s="5" t="s">
        <v>718</v>
      </c>
      <c r="D542" s="5" t="s">
        <v>36</v>
      </c>
      <c r="E542" s="3">
        <v>38429</v>
      </c>
      <c r="F542" s="3">
        <v>36112.17</v>
      </c>
      <c r="G542" s="54">
        <f t="shared" si="124"/>
        <v>61906.577142857132</v>
      </c>
      <c r="H542" s="75">
        <f>+G542*1.058</f>
        <v>65497.15861714285</v>
      </c>
      <c r="I542" s="3">
        <f t="shared" si="125"/>
        <v>69099.502341085696</v>
      </c>
      <c r="J542" s="18">
        <f t="shared" si="126"/>
        <v>72761.775965163237</v>
      </c>
    </row>
    <row r="543" spans="2:10" x14ac:dyDescent="0.35">
      <c r="B543" s="32" t="s">
        <v>2544</v>
      </c>
      <c r="C543" s="5" t="s">
        <v>736</v>
      </c>
      <c r="D543" s="5" t="s">
        <v>737</v>
      </c>
      <c r="E543" s="3">
        <v>6300000</v>
      </c>
      <c r="F543" s="3">
        <f>3232848.87-300174.28</f>
        <v>2932674.59</v>
      </c>
      <c r="G543" s="54">
        <f t="shared" si="124"/>
        <v>5027442.154285714</v>
      </c>
      <c r="H543" s="62">
        <f>+G543*1.1424</f>
        <v>5743349.9170559999</v>
      </c>
      <c r="I543" s="3">
        <f t="shared" si="125"/>
        <v>6059234.1624940792</v>
      </c>
      <c r="J543" s="18">
        <f t="shared" si="126"/>
        <v>6380373.5731062647</v>
      </c>
    </row>
    <row r="544" spans="2:10" x14ac:dyDescent="0.35">
      <c r="B544" s="32" t="s">
        <v>2544</v>
      </c>
      <c r="C544" s="5" t="s">
        <v>758</v>
      </c>
      <c r="D544" s="72" t="s">
        <v>2607</v>
      </c>
      <c r="E544" s="3">
        <v>0</v>
      </c>
      <c r="F544" s="3">
        <v>0</v>
      </c>
      <c r="G544" s="54">
        <f t="shared" si="124"/>
        <v>0</v>
      </c>
      <c r="H544" s="75">
        <v>140000</v>
      </c>
      <c r="I544" s="3">
        <f t="shared" si="125"/>
        <v>147700</v>
      </c>
      <c r="J544" s="18">
        <f t="shared" si="126"/>
        <v>155528.09999999998</v>
      </c>
    </row>
    <row r="545" spans="2:13" x14ac:dyDescent="0.35">
      <c r="B545" s="32" t="s">
        <v>2544</v>
      </c>
      <c r="C545" s="5"/>
      <c r="D545" s="11" t="s">
        <v>2636</v>
      </c>
      <c r="E545" s="3"/>
      <c r="F545" s="3"/>
      <c r="G545" s="54"/>
      <c r="H545" s="62">
        <v>500</v>
      </c>
      <c r="I545" s="3"/>
      <c r="J545" s="18"/>
    </row>
    <row r="546" spans="2:13" x14ac:dyDescent="0.35">
      <c r="B546" s="32" t="s">
        <v>2544</v>
      </c>
      <c r="C546" s="5" t="s">
        <v>762</v>
      </c>
      <c r="D546" s="5" t="s">
        <v>124</v>
      </c>
      <c r="E546" s="3">
        <v>0</v>
      </c>
      <c r="F546" s="3">
        <v>0</v>
      </c>
      <c r="G546" s="54">
        <f t="shared" ref="G546:G551" si="127">+F546/7*12</f>
        <v>0</v>
      </c>
      <c r="H546" s="62">
        <v>50000</v>
      </c>
      <c r="I546" s="3">
        <f t="shared" ref="I546:I551" si="128">+H546*1.055</f>
        <v>52750</v>
      </c>
      <c r="J546" s="18">
        <f t="shared" ref="J546:J551" si="129">+I546*1.053</f>
        <v>55545.75</v>
      </c>
    </row>
    <row r="547" spans="2:13" x14ac:dyDescent="0.35">
      <c r="B547" s="32" t="s">
        <v>2544</v>
      </c>
      <c r="C547" s="5" t="s">
        <v>730</v>
      </c>
      <c r="D547" s="5" t="s">
        <v>298</v>
      </c>
      <c r="E547" s="3">
        <v>439000</v>
      </c>
      <c r="F547" s="3">
        <v>0</v>
      </c>
      <c r="G547" s="54">
        <f t="shared" si="127"/>
        <v>0</v>
      </c>
      <c r="H547" s="62">
        <f>+G547*1.06</f>
        <v>0</v>
      </c>
      <c r="I547" s="3">
        <f t="shared" si="128"/>
        <v>0</v>
      </c>
      <c r="J547" s="18">
        <f t="shared" si="129"/>
        <v>0</v>
      </c>
    </row>
    <row r="548" spans="2:13" x14ac:dyDescent="0.35">
      <c r="B548" s="32" t="s">
        <v>2544</v>
      </c>
      <c r="C548" s="5" t="s">
        <v>731</v>
      </c>
      <c r="D548" s="5" t="s">
        <v>64</v>
      </c>
      <c r="E548" s="3">
        <v>534000</v>
      </c>
      <c r="F548" s="3">
        <v>0</v>
      </c>
      <c r="G548" s="54">
        <f t="shared" si="127"/>
        <v>0</v>
      </c>
      <c r="H548" s="62">
        <f>+G548*1.06</f>
        <v>0</v>
      </c>
      <c r="I548" s="3">
        <f t="shared" si="128"/>
        <v>0</v>
      </c>
      <c r="J548" s="18">
        <f t="shared" si="129"/>
        <v>0</v>
      </c>
    </row>
    <row r="549" spans="2:13" x14ac:dyDescent="0.35">
      <c r="B549" s="32" t="s">
        <v>2544</v>
      </c>
      <c r="C549" s="5" t="s">
        <v>755</v>
      </c>
      <c r="D549" s="5" t="s">
        <v>756</v>
      </c>
      <c r="E549" s="3">
        <v>0</v>
      </c>
      <c r="F549" s="3">
        <v>0</v>
      </c>
      <c r="G549" s="54">
        <f t="shared" si="127"/>
        <v>0</v>
      </c>
      <c r="H549" s="62">
        <f>+G549*1.06</f>
        <v>0</v>
      </c>
      <c r="I549" s="3">
        <f t="shared" si="128"/>
        <v>0</v>
      </c>
      <c r="J549" s="18">
        <f t="shared" si="129"/>
        <v>0</v>
      </c>
    </row>
    <row r="550" spans="2:13" x14ac:dyDescent="0.35">
      <c r="B550" s="32" t="s">
        <v>2544</v>
      </c>
      <c r="C550" s="5" t="s">
        <v>734</v>
      </c>
      <c r="D550" s="5" t="s">
        <v>735</v>
      </c>
      <c r="E550" s="3">
        <v>140500</v>
      </c>
      <c r="F550" s="3">
        <v>81057.119999999995</v>
      </c>
      <c r="G550" s="54">
        <f t="shared" si="127"/>
        <v>138955.06285714285</v>
      </c>
      <c r="H550" s="62">
        <f>+G550*1.06</f>
        <v>147292.36662857144</v>
      </c>
      <c r="I550" s="3">
        <f t="shared" si="128"/>
        <v>155393.44679314285</v>
      </c>
      <c r="J550" s="18">
        <f t="shared" si="129"/>
        <v>163629.29947317942</v>
      </c>
    </row>
    <row r="551" spans="2:13" x14ac:dyDescent="0.35">
      <c r="B551" s="32" t="s">
        <v>2544</v>
      </c>
      <c r="C551" s="5" t="s">
        <v>751</v>
      </c>
      <c r="D551" s="5" t="s">
        <v>752</v>
      </c>
      <c r="E551" s="3">
        <v>153000</v>
      </c>
      <c r="F551" s="3">
        <v>94491.34</v>
      </c>
      <c r="G551" s="54">
        <f t="shared" si="127"/>
        <v>161985.15428571426</v>
      </c>
      <c r="H551" s="62">
        <f>+G551*1.06</f>
        <v>171704.26354285714</v>
      </c>
      <c r="I551" s="3">
        <f t="shared" si="128"/>
        <v>181147.99803771428</v>
      </c>
      <c r="J551" s="18">
        <f t="shared" si="129"/>
        <v>190748.84193371312</v>
      </c>
    </row>
    <row r="552" spans="2:13" x14ac:dyDescent="0.35">
      <c r="B552" s="32" t="s">
        <v>2544</v>
      </c>
      <c r="C552" s="5"/>
      <c r="D552" s="5" t="s">
        <v>2628</v>
      </c>
      <c r="E552" s="3"/>
      <c r="F552" s="3"/>
      <c r="G552" s="54"/>
      <c r="H552" s="62"/>
      <c r="I552" s="3"/>
      <c r="J552" s="18"/>
    </row>
    <row r="553" spans="2:13" x14ac:dyDescent="0.35">
      <c r="B553" s="32" t="s">
        <v>2544</v>
      </c>
      <c r="C553" s="5" t="s">
        <v>745</v>
      </c>
      <c r="D553" s="5" t="s">
        <v>543</v>
      </c>
      <c r="E553" s="3">
        <v>20000</v>
      </c>
      <c r="F553" s="3">
        <v>7672.46</v>
      </c>
      <c r="G553" s="54">
        <f>+F553/7*12</f>
        <v>13152.788571428569</v>
      </c>
      <c r="H553" s="75">
        <v>15000</v>
      </c>
      <c r="I553" s="3">
        <f>+H553*1.055</f>
        <v>15824.999999999998</v>
      </c>
      <c r="J553" s="18">
        <f>+I553*1.053</f>
        <v>16663.724999999999</v>
      </c>
    </row>
    <row r="554" spans="2:13" x14ac:dyDescent="0.35">
      <c r="B554" s="32"/>
      <c r="C554" s="5" t="s">
        <v>728</v>
      </c>
      <c r="D554" s="5" t="s">
        <v>331</v>
      </c>
      <c r="E554" s="3">
        <v>0</v>
      </c>
      <c r="F554" s="3">
        <v>0</v>
      </c>
      <c r="G554" s="54">
        <f>+F554/7*12</f>
        <v>0</v>
      </c>
      <c r="H554" s="75">
        <f>+G554*1.058</f>
        <v>0</v>
      </c>
      <c r="I554" s="3">
        <f>+H554*1.055</f>
        <v>0</v>
      </c>
      <c r="J554" s="18">
        <f>+I554*1.053</f>
        <v>0</v>
      </c>
    </row>
    <row r="555" spans="2:13" x14ac:dyDescent="0.35">
      <c r="B555" s="32" t="s">
        <v>2544</v>
      </c>
      <c r="C555" s="5" t="s">
        <v>733</v>
      </c>
      <c r="D555" s="5" t="s">
        <v>68</v>
      </c>
      <c r="E555" s="3">
        <v>0</v>
      </c>
      <c r="F555" s="3">
        <v>0</v>
      </c>
      <c r="G555" s="54">
        <f>+F555/7*12</f>
        <v>0</v>
      </c>
      <c r="H555" s="62">
        <f>+G555*1.06</f>
        <v>0</v>
      </c>
      <c r="I555" s="3">
        <f>+H555*1.055</f>
        <v>0</v>
      </c>
      <c r="J555" s="18">
        <f>+I555*1.053</f>
        <v>0</v>
      </c>
    </row>
    <row r="556" spans="2:13" x14ac:dyDescent="0.35">
      <c r="B556" s="32" t="s">
        <v>2544</v>
      </c>
      <c r="C556" s="5"/>
      <c r="D556" s="5" t="s">
        <v>2645</v>
      </c>
      <c r="E556" s="3"/>
      <c r="F556" s="3"/>
      <c r="G556" s="54"/>
      <c r="H556" s="62"/>
      <c r="I556" s="3"/>
      <c r="J556" s="18"/>
      <c r="K556" t="s">
        <v>2634</v>
      </c>
      <c r="M556">
        <v>19500</v>
      </c>
    </row>
    <row r="557" spans="2:13" x14ac:dyDescent="0.35">
      <c r="B557" s="32" t="s">
        <v>2544</v>
      </c>
      <c r="C557" s="5" t="s">
        <v>742</v>
      </c>
      <c r="D557" s="5" t="s">
        <v>90</v>
      </c>
      <c r="E557" s="3">
        <v>6000</v>
      </c>
      <c r="F557" s="3">
        <v>6000</v>
      </c>
      <c r="G557" s="54">
        <f t="shared" ref="G557:G563" si="130">+F557/7*12</f>
        <v>10285.714285714286</v>
      </c>
      <c r="H557" s="62">
        <f>+G557*1.06</f>
        <v>10902.857142857143</v>
      </c>
      <c r="I557" s="3">
        <f t="shared" ref="I557:I575" si="131">+H557*1.055</f>
        <v>11502.514285714286</v>
      </c>
      <c r="J557" s="18">
        <f t="shared" ref="J557:J575" si="132">+I557*1.053</f>
        <v>12112.147542857141</v>
      </c>
    </row>
    <row r="558" spans="2:13" x14ac:dyDescent="0.35">
      <c r="B558" s="32" t="s">
        <v>2544</v>
      </c>
      <c r="C558" s="5" t="s">
        <v>747</v>
      </c>
      <c r="D558" s="5" t="s">
        <v>748</v>
      </c>
      <c r="E558" s="3">
        <v>0</v>
      </c>
      <c r="F558" s="3">
        <v>0</v>
      </c>
      <c r="G558" s="54">
        <f t="shared" si="130"/>
        <v>0</v>
      </c>
      <c r="H558" s="62">
        <f>+G558*1.06</f>
        <v>0</v>
      </c>
      <c r="I558" s="3">
        <f t="shared" si="131"/>
        <v>0</v>
      </c>
      <c r="J558" s="18">
        <f t="shared" si="132"/>
        <v>0</v>
      </c>
    </row>
    <row r="559" spans="2:13" x14ac:dyDescent="0.35">
      <c r="B559" s="32"/>
      <c r="C559" s="5" t="s">
        <v>738</v>
      </c>
      <c r="D559" s="5" t="s">
        <v>739</v>
      </c>
      <c r="E559" s="3">
        <v>500000</v>
      </c>
      <c r="F559" s="3">
        <f>529294.53-1992.91</f>
        <v>527301.62</v>
      </c>
      <c r="G559" s="54">
        <f t="shared" si="130"/>
        <v>903945.63428571424</v>
      </c>
      <c r="H559" s="62">
        <f>+G559*1.1424</f>
        <v>1032667.4926080001</v>
      </c>
      <c r="I559" s="3">
        <f t="shared" si="131"/>
        <v>1089464.2047014399</v>
      </c>
      <c r="J559" s="18">
        <f t="shared" si="132"/>
        <v>1147205.8075506161</v>
      </c>
    </row>
    <row r="560" spans="2:13" x14ac:dyDescent="0.35">
      <c r="B560" s="32"/>
      <c r="C560" s="5" t="s">
        <v>729</v>
      </c>
      <c r="D560" s="5" t="s">
        <v>52</v>
      </c>
      <c r="E560" s="3">
        <v>0</v>
      </c>
      <c r="F560" s="3">
        <v>0</v>
      </c>
      <c r="G560" s="54">
        <f t="shared" si="130"/>
        <v>0</v>
      </c>
      <c r="H560" s="75">
        <f>+G560*1.058</f>
        <v>0</v>
      </c>
      <c r="I560" s="3">
        <f t="shared" si="131"/>
        <v>0</v>
      </c>
      <c r="J560" s="18">
        <f t="shared" si="132"/>
        <v>0</v>
      </c>
    </row>
    <row r="561" spans="2:13" x14ac:dyDescent="0.35">
      <c r="B561" s="32"/>
      <c r="C561" s="5" t="s">
        <v>757</v>
      </c>
      <c r="D561" s="5" t="s">
        <v>120</v>
      </c>
      <c r="E561" s="3">
        <v>0</v>
      </c>
      <c r="F561" s="3">
        <v>0</v>
      </c>
      <c r="G561" s="54">
        <f t="shared" si="130"/>
        <v>0</v>
      </c>
      <c r="H561" s="62">
        <f>+G561*1.06</f>
        <v>0</v>
      </c>
      <c r="I561" s="3">
        <f t="shared" si="131"/>
        <v>0</v>
      </c>
      <c r="J561" s="18">
        <f t="shared" si="132"/>
        <v>0</v>
      </c>
    </row>
    <row r="562" spans="2:13" x14ac:dyDescent="0.35">
      <c r="B562" s="32" t="s">
        <v>2544</v>
      </c>
      <c r="C562" s="5" t="s">
        <v>749</v>
      </c>
      <c r="D562" s="5" t="s">
        <v>750</v>
      </c>
      <c r="E562" s="3">
        <v>0</v>
      </c>
      <c r="F562" s="3">
        <v>0</v>
      </c>
      <c r="G562" s="54">
        <f t="shared" si="130"/>
        <v>0</v>
      </c>
      <c r="H562" s="62">
        <f>+G562*1.06</f>
        <v>0</v>
      </c>
      <c r="I562" s="3">
        <f t="shared" si="131"/>
        <v>0</v>
      </c>
      <c r="J562" s="18">
        <f t="shared" si="132"/>
        <v>0</v>
      </c>
    </row>
    <row r="563" spans="2:13" x14ac:dyDescent="0.35">
      <c r="B563" s="32" t="s">
        <v>2544</v>
      </c>
      <c r="C563" s="5" t="s">
        <v>753</v>
      </c>
      <c r="D563" s="5" t="s">
        <v>669</v>
      </c>
      <c r="E563" s="3">
        <v>40000</v>
      </c>
      <c r="F563" s="3">
        <f>44908.33-20.2</f>
        <v>44888.130000000005</v>
      </c>
      <c r="G563" s="54">
        <f t="shared" si="130"/>
        <v>76951.080000000016</v>
      </c>
      <c r="H563" s="75">
        <v>80000</v>
      </c>
      <c r="I563" s="3">
        <f t="shared" si="131"/>
        <v>84400</v>
      </c>
      <c r="J563" s="18">
        <f t="shared" si="132"/>
        <v>88873.2</v>
      </c>
    </row>
    <row r="564" spans="2:13" x14ac:dyDescent="0.35">
      <c r="B564" s="32" t="s">
        <v>2544</v>
      </c>
      <c r="C564" s="5"/>
      <c r="D564" s="5" t="s">
        <v>2632</v>
      </c>
      <c r="E564" s="3"/>
      <c r="F564" s="3"/>
      <c r="G564" s="54"/>
      <c r="H564" s="75">
        <v>33000</v>
      </c>
      <c r="I564" s="3">
        <f t="shared" si="131"/>
        <v>34815</v>
      </c>
      <c r="J564" s="18">
        <f t="shared" si="132"/>
        <v>36660.195</v>
      </c>
    </row>
    <row r="565" spans="2:13" x14ac:dyDescent="0.35">
      <c r="B565" s="32" t="s">
        <v>2544</v>
      </c>
      <c r="C565" s="5"/>
      <c r="D565" s="5" t="s">
        <v>2633</v>
      </c>
      <c r="E565" s="3"/>
      <c r="F565" s="3"/>
      <c r="G565" s="54"/>
      <c r="H565" s="75">
        <v>25000</v>
      </c>
      <c r="I565" s="3">
        <f t="shared" si="131"/>
        <v>26375</v>
      </c>
      <c r="J565" s="18">
        <f t="shared" si="132"/>
        <v>27772.875</v>
      </c>
      <c r="K565" t="s">
        <v>2629</v>
      </c>
    </row>
    <row r="566" spans="2:13" x14ac:dyDescent="0.35">
      <c r="B566" s="32" t="s">
        <v>2544</v>
      </c>
      <c r="C566" s="5"/>
      <c r="D566" s="5" t="s">
        <v>2647</v>
      </c>
      <c r="E566" s="3"/>
      <c r="F566" s="3"/>
      <c r="G566" s="54"/>
      <c r="H566" s="75">
        <v>15000</v>
      </c>
      <c r="I566" s="3">
        <f t="shared" si="131"/>
        <v>15824.999999999998</v>
      </c>
      <c r="J566" s="18">
        <f t="shared" si="132"/>
        <v>16663.724999999999</v>
      </c>
      <c r="K566" t="s">
        <v>2630</v>
      </c>
    </row>
    <row r="567" spans="2:13" x14ac:dyDescent="0.35">
      <c r="B567" s="32" t="s">
        <v>2544</v>
      </c>
      <c r="C567" s="5" t="s">
        <v>754</v>
      </c>
      <c r="D567" s="5" t="s">
        <v>671</v>
      </c>
      <c r="E567" s="3">
        <v>10000</v>
      </c>
      <c r="F567" s="3">
        <v>2875.27</v>
      </c>
      <c r="G567" s="54">
        <f t="shared" ref="G567:G575" si="133">+F567/7*12</f>
        <v>4929.0342857142859</v>
      </c>
      <c r="H567" s="75">
        <v>10000</v>
      </c>
      <c r="I567" s="3">
        <f t="shared" si="131"/>
        <v>10550</v>
      </c>
      <c r="J567" s="18">
        <f t="shared" si="132"/>
        <v>11109.15</v>
      </c>
    </row>
    <row r="568" spans="2:13" x14ac:dyDescent="0.35">
      <c r="B568" s="32" t="s">
        <v>2544</v>
      </c>
      <c r="C568" s="5" t="s">
        <v>726</v>
      </c>
      <c r="D568" s="5" t="s">
        <v>48</v>
      </c>
      <c r="E568" s="3">
        <v>0</v>
      </c>
      <c r="F568" s="3">
        <v>0</v>
      </c>
      <c r="G568" s="54">
        <f t="shared" si="133"/>
        <v>0</v>
      </c>
      <c r="H568" s="75">
        <f>+G568*1.058</f>
        <v>0</v>
      </c>
      <c r="I568" s="3">
        <f t="shared" si="131"/>
        <v>0</v>
      </c>
      <c r="J568" s="18">
        <f t="shared" si="132"/>
        <v>0</v>
      </c>
    </row>
    <row r="569" spans="2:13" x14ac:dyDescent="0.35">
      <c r="B569" s="32" t="s">
        <v>2544</v>
      </c>
      <c r="C569" s="5" t="s">
        <v>761</v>
      </c>
      <c r="D569" s="5" t="s">
        <v>368</v>
      </c>
      <c r="E569" s="3">
        <f>567100+95000</f>
        <v>662100</v>
      </c>
      <c r="F569" s="3">
        <f>326081.02+59335.68+4927.95</f>
        <v>390344.65</v>
      </c>
      <c r="G569" s="54">
        <f t="shared" si="133"/>
        <v>669162.25714285718</v>
      </c>
      <c r="H569" s="62">
        <f>+G569*1.06</f>
        <v>709311.99257142865</v>
      </c>
      <c r="I569" s="3">
        <f t="shared" si="131"/>
        <v>748324.15216285724</v>
      </c>
      <c r="J569" s="18">
        <f t="shared" si="132"/>
        <v>787985.33222748863</v>
      </c>
      <c r="K569" t="s">
        <v>2631</v>
      </c>
    </row>
    <row r="570" spans="2:13" x14ac:dyDescent="0.35">
      <c r="B570" s="32" t="s">
        <v>2544</v>
      </c>
      <c r="C570" s="5" t="s">
        <v>743</v>
      </c>
      <c r="D570" s="5" t="s">
        <v>440</v>
      </c>
      <c r="E570" s="3">
        <v>0</v>
      </c>
      <c r="F570" s="3">
        <v>0</v>
      </c>
      <c r="G570" s="54">
        <f t="shared" si="133"/>
        <v>0</v>
      </c>
      <c r="H570" s="75">
        <v>2000</v>
      </c>
      <c r="I570" s="3">
        <f t="shared" si="131"/>
        <v>2110</v>
      </c>
      <c r="J570" s="18">
        <f t="shared" si="132"/>
        <v>2221.83</v>
      </c>
      <c r="K570" t="s">
        <v>2634</v>
      </c>
      <c r="M570">
        <v>51500</v>
      </c>
    </row>
    <row r="571" spans="2:13" x14ac:dyDescent="0.35">
      <c r="B571" s="32" t="s">
        <v>2544</v>
      </c>
      <c r="C571" s="5" t="s">
        <v>719</v>
      </c>
      <c r="D571" s="5" t="s">
        <v>38</v>
      </c>
      <c r="E571" s="3">
        <v>0</v>
      </c>
      <c r="F571" s="3">
        <v>12768.15</v>
      </c>
      <c r="G571" s="54">
        <f t="shared" si="133"/>
        <v>21888.257142857143</v>
      </c>
      <c r="H571" s="75">
        <v>24000</v>
      </c>
      <c r="I571" s="3">
        <f t="shared" si="131"/>
        <v>25320</v>
      </c>
      <c r="J571" s="18">
        <f t="shared" si="132"/>
        <v>26661.96</v>
      </c>
    </row>
    <row r="572" spans="2:13" x14ac:dyDescent="0.35">
      <c r="B572" s="32" t="s">
        <v>2544</v>
      </c>
      <c r="C572" s="5" t="s">
        <v>723</v>
      </c>
      <c r="D572" s="5" t="s">
        <v>42</v>
      </c>
      <c r="E572" s="3">
        <v>41999</v>
      </c>
      <c r="F572" s="3">
        <v>53843.92</v>
      </c>
      <c r="G572" s="54">
        <f t="shared" si="133"/>
        <v>92303.862857142856</v>
      </c>
      <c r="H572" s="75">
        <f>+G572*1.058</f>
        <v>97657.486902857141</v>
      </c>
      <c r="I572" s="3">
        <f t="shared" si="131"/>
        <v>103028.64868251428</v>
      </c>
      <c r="J572" s="18">
        <f t="shared" si="132"/>
        <v>108489.16706268753</v>
      </c>
    </row>
    <row r="573" spans="2:13" x14ac:dyDescent="0.35">
      <c r="B573" s="32"/>
      <c r="C573" s="5" t="s">
        <v>717</v>
      </c>
      <c r="D573" s="5" t="s">
        <v>34</v>
      </c>
      <c r="E573" s="3">
        <v>461151</v>
      </c>
      <c r="F573" s="3">
        <f>254927.07-7050.01</f>
        <v>247877.06</v>
      </c>
      <c r="G573" s="54">
        <f t="shared" si="133"/>
        <v>424932.10285714292</v>
      </c>
      <c r="H573" s="75">
        <f>+G573*1.058</f>
        <v>449578.16482285724</v>
      </c>
      <c r="I573" s="3">
        <f t="shared" si="131"/>
        <v>474304.96388811438</v>
      </c>
      <c r="J573" s="18">
        <f t="shared" si="132"/>
        <v>499443.12697418442</v>
      </c>
    </row>
    <row r="574" spans="2:13" x14ac:dyDescent="0.35">
      <c r="B574" s="32"/>
      <c r="C574" s="5" t="s">
        <v>727</v>
      </c>
      <c r="D574" s="5" t="s">
        <v>50</v>
      </c>
      <c r="E574" s="3">
        <v>4612</v>
      </c>
      <c r="F574" s="3">
        <v>1598.13</v>
      </c>
      <c r="G574" s="54">
        <f t="shared" si="133"/>
        <v>2739.6514285714288</v>
      </c>
      <c r="H574" s="75">
        <f>+G574*1.058</f>
        <v>2898.5512114285721</v>
      </c>
      <c r="I574" s="3">
        <f t="shared" si="131"/>
        <v>3057.9715280571431</v>
      </c>
      <c r="J574" s="18">
        <f t="shared" si="132"/>
        <v>3220.0440190441714</v>
      </c>
    </row>
    <row r="575" spans="2:13" x14ac:dyDescent="0.35">
      <c r="B575" s="32"/>
      <c r="C575" s="5" t="s">
        <v>721</v>
      </c>
      <c r="D575" s="5" t="s">
        <v>526</v>
      </c>
      <c r="E575" s="3">
        <v>15485</v>
      </c>
      <c r="F575" s="3">
        <v>3995.34</v>
      </c>
      <c r="G575" s="54">
        <f t="shared" si="133"/>
        <v>6849.1542857142849</v>
      </c>
      <c r="H575" s="75">
        <v>7000</v>
      </c>
      <c r="I575" s="3">
        <f t="shared" si="131"/>
        <v>7385</v>
      </c>
      <c r="J575" s="18">
        <f t="shared" si="132"/>
        <v>7776.4049999999997</v>
      </c>
    </row>
    <row r="576" spans="2:13" x14ac:dyDescent="0.35">
      <c r="B576" s="32" t="s">
        <v>2544</v>
      </c>
      <c r="C576" s="5"/>
      <c r="D576" s="11" t="s">
        <v>2635</v>
      </c>
      <c r="E576" s="3"/>
      <c r="F576" s="3"/>
      <c r="G576" s="54"/>
      <c r="H576" s="62">
        <v>1000</v>
      </c>
      <c r="I576" s="3"/>
      <c r="J576" s="18"/>
    </row>
    <row r="577" spans="1:13" x14ac:dyDescent="0.35">
      <c r="B577" s="32" t="s">
        <v>2544</v>
      </c>
      <c r="C577" s="5" t="s">
        <v>744</v>
      </c>
      <c r="D577" s="5" t="s">
        <v>94</v>
      </c>
      <c r="E577" s="3">
        <v>0</v>
      </c>
      <c r="F577" s="3">
        <v>0</v>
      </c>
      <c r="G577" s="54">
        <f>+F577/7*12</f>
        <v>0</v>
      </c>
      <c r="H577" s="62">
        <f>+G577*1.06</f>
        <v>0</v>
      </c>
      <c r="I577" s="3">
        <f>+H577*1.055</f>
        <v>0</v>
      </c>
      <c r="J577" s="18">
        <f>+I577*1.053</f>
        <v>0</v>
      </c>
    </row>
    <row r="578" spans="1:13" x14ac:dyDescent="0.35">
      <c r="B578" s="32" t="s">
        <v>2544</v>
      </c>
      <c r="C578" s="5" t="s">
        <v>720</v>
      </c>
      <c r="D578" s="5" t="s">
        <v>40</v>
      </c>
      <c r="E578" s="3">
        <v>0</v>
      </c>
      <c r="F578" s="3">
        <v>0</v>
      </c>
      <c r="G578" s="54">
        <f>+F578/7*12</f>
        <v>0</v>
      </c>
      <c r="H578" s="75">
        <f>+G578*1.058</f>
        <v>0</v>
      </c>
      <c r="I578" s="3">
        <f>+H578*1.055</f>
        <v>0</v>
      </c>
      <c r="J578" s="18">
        <f>+I578*1.053</f>
        <v>0</v>
      </c>
    </row>
    <row r="579" spans="1:13" x14ac:dyDescent="0.35">
      <c r="B579" s="32" t="s">
        <v>2544</v>
      </c>
      <c r="C579" s="5" t="s">
        <v>746</v>
      </c>
      <c r="D579" s="5" t="s">
        <v>98</v>
      </c>
      <c r="E579" s="3">
        <v>10000</v>
      </c>
      <c r="F579" s="3">
        <v>9130.7900000000009</v>
      </c>
      <c r="G579" s="54">
        <f>+F579/7*12</f>
        <v>15652.782857142858</v>
      </c>
      <c r="H579" s="75">
        <v>18000</v>
      </c>
      <c r="I579" s="3">
        <f>+H579*1.055</f>
        <v>18990</v>
      </c>
      <c r="J579" s="18">
        <f>+I579*1.053</f>
        <v>19996.469999999998</v>
      </c>
    </row>
    <row r="580" spans="1:13" x14ac:dyDescent="0.35">
      <c r="B580" s="32" t="s">
        <v>2544</v>
      </c>
      <c r="C580" s="5" t="s">
        <v>724</v>
      </c>
      <c r="D580" s="5" t="s">
        <v>44</v>
      </c>
      <c r="E580" s="3">
        <v>6254</v>
      </c>
      <c r="F580" s="3">
        <v>2226.71</v>
      </c>
      <c r="G580" s="54">
        <f>+F580/7*12</f>
        <v>3817.2171428571428</v>
      </c>
      <c r="H580" s="75">
        <f>+G580*1.058</f>
        <v>4038.6157371428571</v>
      </c>
      <c r="I580" s="3">
        <f>+H580*1.055</f>
        <v>4260.7396026857141</v>
      </c>
      <c r="J580" s="18">
        <f>+I580*1.053</f>
        <v>4486.5588016280562</v>
      </c>
    </row>
    <row r="581" spans="1:13" x14ac:dyDescent="0.35">
      <c r="B581" s="32" t="s">
        <v>2544</v>
      </c>
      <c r="C581" s="5" t="s">
        <v>740</v>
      </c>
      <c r="D581" s="5" t="s">
        <v>741</v>
      </c>
      <c r="E581" s="3">
        <v>4000</v>
      </c>
      <c r="F581" s="3">
        <v>0</v>
      </c>
      <c r="G581" s="54">
        <f>+F581/7*12</f>
        <v>0</v>
      </c>
      <c r="H581" s="62">
        <f>+G581*1.06</f>
        <v>0</v>
      </c>
      <c r="I581" s="3">
        <f>+H581*1.055</f>
        <v>0</v>
      </c>
      <c r="J581" s="18">
        <f>+I581*1.053</f>
        <v>0</v>
      </c>
      <c r="K581" t="s">
        <v>2634</v>
      </c>
      <c r="M581">
        <v>295000</v>
      </c>
    </row>
    <row r="582" spans="1:13" s="8" customFormat="1" x14ac:dyDescent="0.35">
      <c r="B582" s="33" t="s">
        <v>2546</v>
      </c>
      <c r="C582" s="5"/>
      <c r="D582" s="5"/>
      <c r="E582" s="10">
        <f>SUM(E538:E581)</f>
        <v>11937409</v>
      </c>
      <c r="F582" s="10">
        <f t="shared" ref="F582:J582" si="134">SUM(F538:F581)</f>
        <v>4455026.0099999988</v>
      </c>
      <c r="G582" s="59">
        <f t="shared" si="134"/>
        <v>7637187.4457142837</v>
      </c>
      <c r="H582" s="63">
        <f t="shared" si="134"/>
        <v>8855704.5865211412</v>
      </c>
      <c r="I582" s="10">
        <f t="shared" si="134"/>
        <v>9341185.8387798034</v>
      </c>
      <c r="J582" s="22">
        <f t="shared" si="134"/>
        <v>9836268.6882351339</v>
      </c>
    </row>
    <row r="583" spans="1:13" s="8" customFormat="1" ht="8.25" customHeight="1" x14ac:dyDescent="0.35">
      <c r="B583" s="23"/>
      <c r="E583" s="39"/>
      <c r="F583" s="39"/>
      <c r="G583" s="39"/>
      <c r="H583" s="68"/>
      <c r="I583" s="39"/>
      <c r="J583" s="40"/>
    </row>
    <row r="584" spans="1:13" s="8" customFormat="1" ht="15" thickBot="1" x14ac:dyDescent="0.4">
      <c r="B584" s="35" t="s">
        <v>2548</v>
      </c>
      <c r="C584" s="25"/>
      <c r="D584" s="25"/>
      <c r="E584" s="26">
        <f>+E536+E582</f>
        <v>1257913</v>
      </c>
      <c r="F584" s="26">
        <f t="shared" ref="F584:J584" si="135">+F536+F582</f>
        <v>-566110.75000000093</v>
      </c>
      <c r="G584" s="60">
        <f t="shared" si="135"/>
        <v>-970475.57142857276</v>
      </c>
      <c r="H584" s="65">
        <f t="shared" si="135"/>
        <v>-1240793.1308440007</v>
      </c>
      <c r="I584" s="26">
        <f t="shared" si="135"/>
        <v>-1310619.2530404199</v>
      </c>
      <c r="J584" s="27">
        <f t="shared" si="135"/>
        <v>-1380082.07345156</v>
      </c>
    </row>
    <row r="585" spans="1:13" s="8" customFormat="1" x14ac:dyDescent="0.35">
      <c r="E585" s="9"/>
      <c r="F585" s="9"/>
      <c r="G585" s="9"/>
      <c r="H585" s="9"/>
      <c r="I585" s="9"/>
      <c r="J585" s="9"/>
    </row>
    <row r="586" spans="1:13" s="8" customFormat="1" x14ac:dyDescent="0.35">
      <c r="E586" s="9"/>
      <c r="F586" s="9"/>
      <c r="G586" s="9"/>
      <c r="H586" s="9"/>
      <c r="I586" s="9"/>
      <c r="J586" s="9"/>
    </row>
    <row r="587" spans="1:13" s="8" customFormat="1" ht="15" thickBot="1" x14ac:dyDescent="0.4">
      <c r="A587" s="12" t="s">
        <v>2565</v>
      </c>
      <c r="B587" s="28" t="s">
        <v>2565</v>
      </c>
      <c r="E587" s="9"/>
      <c r="F587" s="9"/>
      <c r="G587" s="9"/>
      <c r="H587" s="9"/>
      <c r="I587" s="9"/>
      <c r="J587" s="9"/>
    </row>
    <row r="588" spans="1:13" x14ac:dyDescent="0.35">
      <c r="B588" s="31" t="s">
        <v>2543</v>
      </c>
      <c r="C588" s="14" t="s">
        <v>763</v>
      </c>
      <c r="D588" s="14" t="s">
        <v>764</v>
      </c>
      <c r="E588" s="15">
        <v>-3300000</v>
      </c>
      <c r="F588" s="15">
        <f>2855.73-1736341.8</f>
        <v>-1733486.07</v>
      </c>
      <c r="G588" s="58">
        <f t="shared" ref="G588:G598" si="136">+F588/7*12</f>
        <v>-2971690.4057142856</v>
      </c>
      <c r="H588" s="61">
        <f>+G588*1.06</f>
        <v>-3149991.8300571428</v>
      </c>
      <c r="I588" s="15">
        <f>+H588*1.055</f>
        <v>-3323241.3807102856</v>
      </c>
      <c r="J588" s="16">
        <f>+I588*1.053</f>
        <v>-3499373.1738879303</v>
      </c>
    </row>
    <row r="589" spans="1:13" x14ac:dyDescent="0.35">
      <c r="B589" s="32" t="s">
        <v>2543</v>
      </c>
      <c r="C589" s="5" t="s">
        <v>765</v>
      </c>
      <c r="D589" s="5" t="s">
        <v>766</v>
      </c>
      <c r="E589" s="3">
        <v>600000</v>
      </c>
      <c r="F589" s="3">
        <v>369592.7</v>
      </c>
      <c r="G589" s="54">
        <f t="shared" si="136"/>
        <v>633587.48571428575</v>
      </c>
      <c r="H589" s="62"/>
      <c r="I589" s="3">
        <f t="shared" ref="I589:I598" si="137">+H589*1.055</f>
        <v>0</v>
      </c>
      <c r="J589" s="18">
        <f t="shared" ref="J589:J598" si="138">+I589*1.053</f>
        <v>0</v>
      </c>
    </row>
    <row r="590" spans="1:13" x14ac:dyDescent="0.35">
      <c r="B590" s="32" t="s">
        <v>2543</v>
      </c>
      <c r="C590" s="5" t="s">
        <v>767</v>
      </c>
      <c r="D590" s="5" t="s">
        <v>768</v>
      </c>
      <c r="E590" s="3">
        <v>0</v>
      </c>
      <c r="F590" s="3">
        <v>0</v>
      </c>
      <c r="G590" s="54">
        <f t="shared" si="136"/>
        <v>0</v>
      </c>
      <c r="H590" s="62">
        <f t="shared" ref="H590:H598" si="139">+G590*1.06</f>
        <v>0</v>
      </c>
      <c r="I590" s="3">
        <f t="shared" si="137"/>
        <v>0</v>
      </c>
      <c r="J590" s="18">
        <f t="shared" si="138"/>
        <v>0</v>
      </c>
    </row>
    <row r="591" spans="1:13" x14ac:dyDescent="0.35">
      <c r="B591" s="32" t="s">
        <v>2543</v>
      </c>
      <c r="C591" s="5" t="s">
        <v>769</v>
      </c>
      <c r="D591" s="11" t="s">
        <v>770</v>
      </c>
      <c r="E591" s="3">
        <v>0</v>
      </c>
      <c r="F591" s="3">
        <f>784.15-4265.54</f>
        <v>-3481.39</v>
      </c>
      <c r="G591" s="54">
        <f t="shared" si="136"/>
        <v>-5968.0971428571429</v>
      </c>
      <c r="H591" s="75">
        <v>-6000</v>
      </c>
      <c r="I591" s="3">
        <f t="shared" si="137"/>
        <v>-6330</v>
      </c>
      <c r="J591" s="18">
        <f t="shared" si="138"/>
        <v>-6665.49</v>
      </c>
    </row>
    <row r="592" spans="1:13" x14ac:dyDescent="0.35">
      <c r="B592" s="32"/>
      <c r="C592" s="5"/>
      <c r="D592" s="11" t="s">
        <v>2637</v>
      </c>
      <c r="E592" s="3"/>
      <c r="F592" s="3"/>
      <c r="G592" s="54"/>
      <c r="H592" s="75">
        <v>-15000</v>
      </c>
      <c r="I592" s="3"/>
      <c r="J592" s="18"/>
    </row>
    <row r="593" spans="2:10" x14ac:dyDescent="0.35">
      <c r="B593" s="32"/>
      <c r="C593" s="5"/>
      <c r="D593" s="11" t="s">
        <v>2626</v>
      </c>
      <c r="E593" s="3"/>
      <c r="F593" s="3"/>
      <c r="G593" s="54"/>
      <c r="H593" s="75">
        <v>-10000</v>
      </c>
      <c r="I593" s="3"/>
      <c r="J593" s="18"/>
    </row>
    <row r="594" spans="2:10" x14ac:dyDescent="0.35">
      <c r="B594" s="32"/>
      <c r="C594" s="5"/>
      <c r="D594" s="11" t="s">
        <v>2627</v>
      </c>
      <c r="E594" s="3"/>
      <c r="F594" s="3"/>
      <c r="G594" s="54"/>
      <c r="H594" s="75">
        <v>-5000</v>
      </c>
      <c r="I594" s="3"/>
      <c r="J594" s="18"/>
    </row>
    <row r="595" spans="2:10" x14ac:dyDescent="0.35">
      <c r="B595" s="32" t="s">
        <v>2543</v>
      </c>
      <c r="C595" s="5" t="s">
        <v>771</v>
      </c>
      <c r="D595" s="5" t="s">
        <v>126</v>
      </c>
      <c r="E595" s="3">
        <v>0</v>
      </c>
      <c r="F595" s="3">
        <v>0</v>
      </c>
      <c r="G595" s="54">
        <f t="shared" si="136"/>
        <v>0</v>
      </c>
      <c r="H595" s="62">
        <f t="shared" si="139"/>
        <v>0</v>
      </c>
      <c r="I595" s="3">
        <f t="shared" si="137"/>
        <v>0</v>
      </c>
      <c r="J595" s="18">
        <f t="shared" si="138"/>
        <v>0</v>
      </c>
    </row>
    <row r="596" spans="2:10" x14ac:dyDescent="0.35">
      <c r="B596" s="32" t="s">
        <v>2543</v>
      </c>
      <c r="C596" s="5" t="s">
        <v>772</v>
      </c>
      <c r="D596" s="5" t="s">
        <v>16</v>
      </c>
      <c r="E596" s="3">
        <v>-2800000</v>
      </c>
      <c r="F596" s="3">
        <v>0</v>
      </c>
      <c r="G596" s="54">
        <f t="shared" si="136"/>
        <v>0</v>
      </c>
      <c r="H596" s="62">
        <f t="shared" si="139"/>
        <v>0</v>
      </c>
      <c r="I596" s="3">
        <f t="shared" si="137"/>
        <v>0</v>
      </c>
      <c r="J596" s="18">
        <f t="shared" si="138"/>
        <v>0</v>
      </c>
    </row>
    <row r="597" spans="2:10" x14ac:dyDescent="0.35">
      <c r="B597" s="32" t="s">
        <v>2543</v>
      </c>
      <c r="C597" s="5" t="s">
        <v>773</v>
      </c>
      <c r="D597" s="5" t="s">
        <v>30</v>
      </c>
      <c r="E597" s="3">
        <v>0</v>
      </c>
      <c r="F597" s="3">
        <v>0</v>
      </c>
      <c r="G597" s="54">
        <f t="shared" si="136"/>
        <v>0</v>
      </c>
      <c r="H597" s="62">
        <f t="shared" si="139"/>
        <v>0</v>
      </c>
      <c r="I597" s="3">
        <f t="shared" si="137"/>
        <v>0</v>
      </c>
      <c r="J597" s="18">
        <f t="shared" si="138"/>
        <v>0</v>
      </c>
    </row>
    <row r="598" spans="2:10" x14ac:dyDescent="0.35">
      <c r="B598" s="32" t="s">
        <v>2543</v>
      </c>
      <c r="C598" s="5" t="s">
        <v>774</v>
      </c>
      <c r="D598" s="5" t="s">
        <v>32</v>
      </c>
      <c r="E598" s="3">
        <v>0</v>
      </c>
      <c r="F598" s="3">
        <v>0</v>
      </c>
      <c r="G598" s="54">
        <f t="shared" si="136"/>
        <v>0</v>
      </c>
      <c r="H598" s="62">
        <f t="shared" si="139"/>
        <v>0</v>
      </c>
      <c r="I598" s="3">
        <f t="shared" si="137"/>
        <v>0</v>
      </c>
      <c r="J598" s="18">
        <f t="shared" si="138"/>
        <v>0</v>
      </c>
    </row>
    <row r="599" spans="2:10" s="8" customFormat="1" x14ac:dyDescent="0.35">
      <c r="B599" s="33" t="s">
        <v>2545</v>
      </c>
      <c r="C599" s="5"/>
      <c r="D599" s="5"/>
      <c r="E599" s="10">
        <f>SUM(E586:E598)</f>
        <v>-5500000</v>
      </c>
      <c r="F599" s="10">
        <f t="shared" ref="F599:J599" si="140">SUM(F586:F598)</f>
        <v>-1367374.76</v>
      </c>
      <c r="G599" s="59">
        <f t="shared" si="140"/>
        <v>-2344071.017142857</v>
      </c>
      <c r="H599" s="63">
        <f t="shared" si="140"/>
        <v>-3185991.8300571428</v>
      </c>
      <c r="I599" s="10">
        <f t="shared" si="140"/>
        <v>-3329571.3807102856</v>
      </c>
      <c r="J599" s="22">
        <f t="shared" si="140"/>
        <v>-3506038.6638879306</v>
      </c>
    </row>
    <row r="600" spans="2:10" s="8" customFormat="1" x14ac:dyDescent="0.35">
      <c r="B600" s="23"/>
      <c r="E600" s="9"/>
      <c r="F600" s="9"/>
      <c r="G600" s="9"/>
      <c r="H600" s="64"/>
      <c r="I600" s="9"/>
      <c r="J600" s="21"/>
    </row>
    <row r="601" spans="2:10" x14ac:dyDescent="0.35">
      <c r="B601" s="44" t="s">
        <v>2544</v>
      </c>
      <c r="C601" s="5" t="s">
        <v>780</v>
      </c>
      <c r="D601" s="5" t="s">
        <v>197</v>
      </c>
      <c r="E601" s="3">
        <v>0</v>
      </c>
      <c r="F601" s="3">
        <v>0</v>
      </c>
      <c r="G601" s="54">
        <f>+F601/7*12</f>
        <v>0</v>
      </c>
      <c r="H601" s="62">
        <f>+G601*1.058</f>
        <v>0</v>
      </c>
      <c r="I601" s="3">
        <f>+H601*1.055</f>
        <v>0</v>
      </c>
      <c r="J601" s="18">
        <f>+I601*1.053</f>
        <v>0</v>
      </c>
    </row>
    <row r="602" spans="2:10" x14ac:dyDescent="0.35">
      <c r="B602" s="44" t="s">
        <v>2544</v>
      </c>
      <c r="C602" s="5" t="s">
        <v>805</v>
      </c>
      <c r="D602" s="5" t="s">
        <v>760</v>
      </c>
      <c r="E602" s="3">
        <v>2964292</v>
      </c>
      <c r="F602" s="3">
        <v>0</v>
      </c>
      <c r="G602" s="54">
        <f>+F602/7*12</f>
        <v>0</v>
      </c>
      <c r="H602" s="62">
        <f>+G602*1.06</f>
        <v>0</v>
      </c>
      <c r="I602" s="3">
        <f>+H602*1.055</f>
        <v>0</v>
      </c>
      <c r="J602" s="18">
        <f>+I602*1.053</f>
        <v>0</v>
      </c>
    </row>
    <row r="603" spans="2:10" x14ac:dyDescent="0.35">
      <c r="B603" s="44" t="s">
        <v>2544</v>
      </c>
      <c r="C603" s="5" t="s">
        <v>788</v>
      </c>
      <c r="D603" s="5" t="s">
        <v>66</v>
      </c>
      <c r="E603" s="3">
        <v>0</v>
      </c>
      <c r="F603" s="3">
        <v>0</v>
      </c>
      <c r="G603" s="54">
        <f>+F603/7*12</f>
        <v>0</v>
      </c>
      <c r="H603" s="62">
        <f>+G603*1.06</f>
        <v>0</v>
      </c>
      <c r="I603" s="3">
        <f>+H603*1.055</f>
        <v>0</v>
      </c>
      <c r="J603" s="18">
        <f>+I603*1.053</f>
        <v>0</v>
      </c>
    </row>
    <row r="604" spans="2:10" x14ac:dyDescent="0.35">
      <c r="B604" s="44" t="s">
        <v>2544</v>
      </c>
      <c r="C604" s="5" t="s">
        <v>783</v>
      </c>
      <c r="D604" s="5" t="s">
        <v>46</v>
      </c>
      <c r="E604" s="3">
        <v>8497</v>
      </c>
      <c r="F604" s="3">
        <v>177.58</v>
      </c>
      <c r="G604" s="54">
        <f>+F604/7*12</f>
        <v>304.4228571428572</v>
      </c>
      <c r="H604" s="75">
        <f>+G604*1.058</f>
        <v>322.07938285714295</v>
      </c>
      <c r="I604" s="3">
        <f>+H604*1.055</f>
        <v>339.7937489142858</v>
      </c>
      <c r="J604" s="18">
        <f>+I604*1.053</f>
        <v>357.80281760674291</v>
      </c>
    </row>
    <row r="605" spans="2:10" x14ac:dyDescent="0.35">
      <c r="B605" s="44" t="s">
        <v>2544</v>
      </c>
      <c r="C605" s="5" t="s">
        <v>776</v>
      </c>
      <c r="D605" s="5" t="s">
        <v>36</v>
      </c>
      <c r="E605" s="3">
        <v>70807</v>
      </c>
      <c r="F605" s="3">
        <v>57873.22</v>
      </c>
      <c r="G605" s="54">
        <f>+F605/7*12</f>
        <v>99211.234285714294</v>
      </c>
      <c r="H605" s="75">
        <f>+G605*1.058</f>
        <v>104965.48587428573</v>
      </c>
      <c r="I605" s="3">
        <f>+H605*1.055</f>
        <v>110738.58759737144</v>
      </c>
      <c r="J605" s="18">
        <f>+I605*1.053</f>
        <v>116607.73274003212</v>
      </c>
    </row>
    <row r="606" spans="2:10" x14ac:dyDescent="0.35">
      <c r="B606" s="44" t="s">
        <v>2544</v>
      </c>
      <c r="C606" s="5"/>
      <c r="D606" s="5" t="s">
        <v>2644</v>
      </c>
      <c r="E606" s="3"/>
      <c r="F606" s="3"/>
      <c r="G606" s="54"/>
      <c r="H606" s="75">
        <v>15000</v>
      </c>
      <c r="I606" s="3"/>
      <c r="J606" s="18"/>
    </row>
    <row r="607" spans="2:10" x14ac:dyDescent="0.35">
      <c r="B607" s="44" t="s">
        <v>2544</v>
      </c>
      <c r="C607" s="5" t="s">
        <v>793</v>
      </c>
      <c r="D607" s="5" t="s">
        <v>541</v>
      </c>
      <c r="E607" s="3">
        <v>0</v>
      </c>
      <c r="F607" s="3">
        <v>0</v>
      </c>
      <c r="G607" s="54">
        <f t="shared" ref="G607:G612" si="141">+F607/7*12</f>
        <v>0</v>
      </c>
      <c r="H607" s="62">
        <v>0</v>
      </c>
      <c r="I607" s="3">
        <f t="shared" ref="I607:I612" si="142">+H607*1.055</f>
        <v>0</v>
      </c>
      <c r="J607" s="18">
        <f t="shared" ref="J607:J612" si="143">+I607*1.053</f>
        <v>0</v>
      </c>
    </row>
    <row r="608" spans="2:10" x14ac:dyDescent="0.35">
      <c r="B608" s="44" t="s">
        <v>2544</v>
      </c>
      <c r="C608" s="5" t="s">
        <v>807</v>
      </c>
      <c r="D608" s="5" t="s">
        <v>124</v>
      </c>
      <c r="E608" s="3">
        <v>0</v>
      </c>
      <c r="F608" s="3">
        <v>0</v>
      </c>
      <c r="G608" s="54">
        <f t="shared" si="141"/>
        <v>0</v>
      </c>
      <c r="H608" s="62">
        <f>+G608*1.06</f>
        <v>0</v>
      </c>
      <c r="I608" s="3">
        <f t="shared" si="142"/>
        <v>0</v>
      </c>
      <c r="J608" s="18">
        <f t="shared" si="143"/>
        <v>0</v>
      </c>
    </row>
    <row r="609" spans="2:16" x14ac:dyDescent="0.35">
      <c r="B609" s="44" t="s">
        <v>2544</v>
      </c>
      <c r="C609" s="5" t="s">
        <v>786</v>
      </c>
      <c r="D609" s="5" t="s">
        <v>298</v>
      </c>
      <c r="E609" s="3">
        <v>675000</v>
      </c>
      <c r="F609" s="3">
        <v>0</v>
      </c>
      <c r="G609" s="54">
        <f t="shared" si="141"/>
        <v>0</v>
      </c>
      <c r="H609" s="62">
        <f>+G609*1.06</f>
        <v>0</v>
      </c>
      <c r="I609" s="3">
        <f t="shared" si="142"/>
        <v>0</v>
      </c>
      <c r="J609" s="18">
        <f t="shared" si="143"/>
        <v>0</v>
      </c>
    </row>
    <row r="610" spans="2:16" x14ac:dyDescent="0.35">
      <c r="B610" s="44" t="s">
        <v>2544</v>
      </c>
      <c r="C610" s="5" t="s">
        <v>787</v>
      </c>
      <c r="D610" s="5" t="s">
        <v>64</v>
      </c>
      <c r="E610" s="3">
        <v>1412000</v>
      </c>
      <c r="F610" s="3">
        <v>0</v>
      </c>
      <c r="G610" s="54">
        <f t="shared" si="141"/>
        <v>0</v>
      </c>
      <c r="H610" s="62">
        <f>+G610*1.06</f>
        <v>0</v>
      </c>
      <c r="I610" s="3">
        <f t="shared" si="142"/>
        <v>0</v>
      </c>
      <c r="J610" s="18">
        <f t="shared" si="143"/>
        <v>0</v>
      </c>
    </row>
    <row r="611" spans="2:16" x14ac:dyDescent="0.35">
      <c r="B611" s="44" t="s">
        <v>2544</v>
      </c>
      <c r="C611" s="5" t="s">
        <v>794</v>
      </c>
      <c r="D611" s="5" t="s">
        <v>543</v>
      </c>
      <c r="E611" s="3">
        <v>117600</v>
      </c>
      <c r="F611" s="3">
        <v>39477.07</v>
      </c>
      <c r="G611" s="54">
        <f t="shared" si="141"/>
        <v>67674.97714285714</v>
      </c>
      <c r="H611" s="75">
        <v>70000</v>
      </c>
      <c r="I611" s="3">
        <f t="shared" si="142"/>
        <v>73850</v>
      </c>
      <c r="J611" s="18">
        <f t="shared" si="143"/>
        <v>77764.049999999988</v>
      </c>
    </row>
    <row r="612" spans="2:16" x14ac:dyDescent="0.35">
      <c r="B612" s="44" t="s">
        <v>2544</v>
      </c>
      <c r="C612" s="5" t="s">
        <v>789</v>
      </c>
      <c r="D612" s="5" t="s">
        <v>68</v>
      </c>
      <c r="E612" s="3">
        <v>0</v>
      </c>
      <c r="F612" s="3">
        <v>0</v>
      </c>
      <c r="G612" s="54">
        <f t="shared" si="141"/>
        <v>0</v>
      </c>
      <c r="H612" s="62">
        <f>+G612*1.06</f>
        <v>0</v>
      </c>
      <c r="I612" s="3">
        <f t="shared" si="142"/>
        <v>0</v>
      </c>
      <c r="J612" s="18">
        <f t="shared" si="143"/>
        <v>0</v>
      </c>
    </row>
    <row r="613" spans="2:16" x14ac:dyDescent="0.35">
      <c r="B613" s="44" t="s">
        <v>2544</v>
      </c>
      <c r="C613" s="5"/>
      <c r="D613" s="5" t="s">
        <v>2645</v>
      </c>
      <c r="E613" s="3"/>
      <c r="F613" s="3"/>
      <c r="G613" s="54"/>
      <c r="H613" s="62"/>
      <c r="I613" s="3"/>
      <c r="J613" s="18"/>
    </row>
    <row r="614" spans="2:16" x14ac:dyDescent="0.35">
      <c r="B614" s="44" t="s">
        <v>2544</v>
      </c>
      <c r="C614" s="5" t="s">
        <v>790</v>
      </c>
      <c r="D614" s="5" t="s">
        <v>90</v>
      </c>
      <c r="E614" s="3">
        <v>6000</v>
      </c>
      <c r="F614" s="3">
        <v>6000</v>
      </c>
      <c r="G614" s="54">
        <f>+F614/7*12</f>
        <v>10285.714285714286</v>
      </c>
      <c r="H614" s="62">
        <f>+G614*1.06</f>
        <v>10902.857142857143</v>
      </c>
      <c r="I614" s="3">
        <f>+H614*1.055</f>
        <v>11502.514285714286</v>
      </c>
      <c r="J614" s="18">
        <f>+I614*1.053</f>
        <v>12112.147542857141</v>
      </c>
    </row>
    <row r="615" spans="2:16" x14ac:dyDescent="0.35">
      <c r="B615" s="44"/>
      <c r="C615" s="5" t="s">
        <v>798</v>
      </c>
      <c r="D615" s="5" t="s">
        <v>748</v>
      </c>
      <c r="E615" s="3">
        <v>0</v>
      </c>
      <c r="F615" s="3">
        <v>0</v>
      </c>
      <c r="G615" s="54">
        <f>+F615/7*12</f>
        <v>0</v>
      </c>
      <c r="H615" s="62">
        <f>+G615*1.06</f>
        <v>0</v>
      </c>
      <c r="I615" s="3">
        <f>+H615*1.055</f>
        <v>0</v>
      </c>
      <c r="J615" s="18">
        <f>+I615*1.053</f>
        <v>0</v>
      </c>
    </row>
    <row r="616" spans="2:16" x14ac:dyDescent="0.35">
      <c r="B616" s="44" t="s">
        <v>2544</v>
      </c>
      <c r="C616" s="5" t="s">
        <v>785</v>
      </c>
      <c r="D616" s="5" t="s">
        <v>52</v>
      </c>
      <c r="E616" s="3">
        <v>0</v>
      </c>
      <c r="F616" s="3">
        <f>33935.62-306.26</f>
        <v>33629.360000000001</v>
      </c>
      <c r="G616" s="54">
        <f>+F616/7*12</f>
        <v>57650.33142857143</v>
      </c>
      <c r="H616" s="75">
        <f>+G616*1.058</f>
        <v>60994.050651428573</v>
      </c>
      <c r="I616" s="3">
        <f>+H616*1.055</f>
        <v>64348.72343725714</v>
      </c>
      <c r="J616" s="18">
        <f>+I616*1.053</f>
        <v>67759.205779431766</v>
      </c>
    </row>
    <row r="617" spans="2:16" x14ac:dyDescent="0.35">
      <c r="B617" s="44" t="s">
        <v>2544</v>
      </c>
      <c r="C617" s="5" t="s">
        <v>803</v>
      </c>
      <c r="D617" s="5" t="s">
        <v>120</v>
      </c>
      <c r="E617" s="3">
        <v>0</v>
      </c>
      <c r="F617" s="3">
        <v>0</v>
      </c>
      <c r="G617" s="54">
        <f>+F617/7*12</f>
        <v>0</v>
      </c>
      <c r="H617" s="62">
        <f>+G617*1.06</f>
        <v>0</v>
      </c>
      <c r="I617" s="3">
        <f>+H617*1.055</f>
        <v>0</v>
      </c>
      <c r="J617" s="18">
        <f>+I617*1.053</f>
        <v>0</v>
      </c>
    </row>
    <row r="618" spans="2:16" x14ac:dyDescent="0.35">
      <c r="B618" s="44" t="s">
        <v>2544</v>
      </c>
      <c r="C618" s="5" t="s">
        <v>799</v>
      </c>
      <c r="D618" s="11" t="s">
        <v>750</v>
      </c>
      <c r="E618" s="3">
        <v>0</v>
      </c>
      <c r="F618" s="3">
        <v>0</v>
      </c>
      <c r="G618" s="54">
        <f>+F618/7*12</f>
        <v>0</v>
      </c>
      <c r="H618" s="62">
        <f>+G618*1.06</f>
        <v>0</v>
      </c>
      <c r="I618" s="3">
        <f>+H618*1.055</f>
        <v>0</v>
      </c>
      <c r="J618" s="18">
        <f>+I618*1.053</f>
        <v>0</v>
      </c>
    </row>
    <row r="619" spans="2:16" x14ac:dyDescent="0.35">
      <c r="B619" s="44" t="s">
        <v>2544</v>
      </c>
      <c r="C619" s="5"/>
      <c r="D619" s="11" t="s">
        <v>2641</v>
      </c>
      <c r="E619" s="3"/>
      <c r="F619" s="3"/>
      <c r="G619" s="54"/>
      <c r="H619" s="75">
        <v>35000</v>
      </c>
      <c r="I619" s="3"/>
      <c r="J619" s="18"/>
      <c r="K619" t="s">
        <v>2638</v>
      </c>
      <c r="M619">
        <v>150</v>
      </c>
      <c r="N619">
        <f>+M619*3</f>
        <v>450</v>
      </c>
      <c r="O619" t="s">
        <v>2639</v>
      </c>
      <c r="P619" t="s">
        <v>2640</v>
      </c>
    </row>
    <row r="620" spans="2:16" x14ac:dyDescent="0.35">
      <c r="B620" s="44" t="s">
        <v>2544</v>
      </c>
      <c r="C620" s="5" t="s">
        <v>802</v>
      </c>
      <c r="D620" s="11" t="s">
        <v>2643</v>
      </c>
      <c r="E620" s="3">
        <v>70000</v>
      </c>
      <c r="F620" s="3">
        <v>19566.189999999999</v>
      </c>
      <c r="G620" s="54">
        <f t="shared" ref="G620:G635" si="144">+F620/7*12</f>
        <v>33542.039999999994</v>
      </c>
      <c r="H620" s="75">
        <v>10000</v>
      </c>
      <c r="I620" s="3">
        <f t="shared" ref="I620:I635" si="145">+H620*1.055</f>
        <v>10550</v>
      </c>
      <c r="J620" s="18">
        <f t="shared" ref="J620:J635" si="146">+I620*1.053</f>
        <v>11109.15</v>
      </c>
    </row>
    <row r="621" spans="2:16" x14ac:dyDescent="0.35">
      <c r="B621" s="44"/>
      <c r="C621" s="5" t="s">
        <v>801</v>
      </c>
      <c r="D621" s="11" t="s">
        <v>2642</v>
      </c>
      <c r="E621" s="3">
        <v>50000</v>
      </c>
      <c r="F621" s="3">
        <v>82643.02</v>
      </c>
      <c r="G621" s="54">
        <f t="shared" si="144"/>
        <v>141673.74857142859</v>
      </c>
      <c r="H621" s="75">
        <v>60000</v>
      </c>
      <c r="I621" s="3">
        <f t="shared" si="145"/>
        <v>63299.999999999993</v>
      </c>
      <c r="J621" s="18">
        <f t="shared" si="146"/>
        <v>66654.899999999994</v>
      </c>
    </row>
    <row r="622" spans="2:16" x14ac:dyDescent="0.35">
      <c r="B622" s="44" t="s">
        <v>2544</v>
      </c>
      <c r="C622" s="5" t="s">
        <v>800</v>
      </c>
      <c r="D622" s="5" t="s">
        <v>242</v>
      </c>
      <c r="E622" s="3">
        <v>0</v>
      </c>
      <c r="F622" s="3">
        <v>0</v>
      </c>
      <c r="G622" s="54">
        <f t="shared" si="144"/>
        <v>0</v>
      </c>
      <c r="H622" s="62">
        <f>+G622*1.06</f>
        <v>0</v>
      </c>
      <c r="I622" s="3">
        <f t="shared" si="145"/>
        <v>0</v>
      </c>
      <c r="J622" s="18">
        <f t="shared" si="146"/>
        <v>0</v>
      </c>
    </row>
    <row r="623" spans="2:16" x14ac:dyDescent="0.35">
      <c r="B623" s="44" t="s">
        <v>2544</v>
      </c>
      <c r="C623" s="5" t="s">
        <v>806</v>
      </c>
      <c r="D623" s="5" t="s">
        <v>368</v>
      </c>
      <c r="E623" s="3">
        <v>114675</v>
      </c>
      <c r="F623" s="3">
        <v>98534.11</v>
      </c>
      <c r="G623" s="54">
        <f t="shared" si="144"/>
        <v>168915.61714285714</v>
      </c>
      <c r="H623" s="62">
        <f>+G623*1.06</f>
        <v>179050.55417142858</v>
      </c>
      <c r="I623" s="3">
        <f t="shared" si="145"/>
        <v>188898.33465085714</v>
      </c>
      <c r="J623" s="18">
        <f t="shared" si="146"/>
        <v>198909.94638735257</v>
      </c>
    </row>
    <row r="624" spans="2:16" x14ac:dyDescent="0.35">
      <c r="B624" s="44" t="s">
        <v>2544</v>
      </c>
      <c r="C624" s="5" t="s">
        <v>804</v>
      </c>
      <c r="D624" s="5" t="s">
        <v>420</v>
      </c>
      <c r="E624" s="3">
        <v>0</v>
      </c>
      <c r="F624" s="3">
        <v>0</v>
      </c>
      <c r="G624" s="54">
        <f t="shared" si="144"/>
        <v>0</v>
      </c>
      <c r="H624" s="62">
        <f>+G624*1.06</f>
        <v>0</v>
      </c>
      <c r="I624" s="3">
        <f t="shared" si="145"/>
        <v>0</v>
      </c>
      <c r="J624" s="18">
        <f t="shared" si="146"/>
        <v>0</v>
      </c>
    </row>
    <row r="625" spans="2:10" x14ac:dyDescent="0.35">
      <c r="B625" s="44" t="s">
        <v>2544</v>
      </c>
      <c r="C625" s="5" t="s">
        <v>791</v>
      </c>
      <c r="D625" s="5" t="s">
        <v>440</v>
      </c>
      <c r="E625" s="3">
        <v>9000</v>
      </c>
      <c r="F625" s="3">
        <v>194.56</v>
      </c>
      <c r="G625" s="54">
        <f t="shared" si="144"/>
        <v>333.53142857142859</v>
      </c>
      <c r="H625" s="75">
        <v>3500</v>
      </c>
      <c r="I625" s="3">
        <f t="shared" si="145"/>
        <v>3692.5</v>
      </c>
      <c r="J625" s="18">
        <f t="shared" si="146"/>
        <v>3888.2024999999999</v>
      </c>
    </row>
    <row r="626" spans="2:10" x14ac:dyDescent="0.35">
      <c r="B626" s="44" t="s">
        <v>2544</v>
      </c>
      <c r="C626" s="5" t="s">
        <v>777</v>
      </c>
      <c r="D626" s="5" t="s">
        <v>38</v>
      </c>
      <c r="E626" s="3">
        <v>68559</v>
      </c>
      <c r="F626" s="3">
        <v>18401.849999999999</v>
      </c>
      <c r="G626" s="54">
        <f t="shared" si="144"/>
        <v>31546.028571428567</v>
      </c>
      <c r="H626" s="75">
        <v>36000</v>
      </c>
      <c r="I626" s="3">
        <f t="shared" si="145"/>
        <v>37980</v>
      </c>
      <c r="J626" s="18">
        <f t="shared" si="146"/>
        <v>39992.939999999995</v>
      </c>
    </row>
    <row r="627" spans="2:10" x14ac:dyDescent="0.35">
      <c r="B627" s="44" t="s">
        <v>2544</v>
      </c>
      <c r="C627" s="5" t="s">
        <v>781</v>
      </c>
      <c r="D627" s="5" t="s">
        <v>42</v>
      </c>
      <c r="E627" s="3">
        <v>119267</v>
      </c>
      <c r="F627" s="3">
        <v>43629.73</v>
      </c>
      <c r="G627" s="54">
        <f t="shared" si="144"/>
        <v>74793.822857142863</v>
      </c>
      <c r="H627" s="75">
        <f>+G627*1.058</f>
        <v>79131.864582857146</v>
      </c>
      <c r="I627" s="3">
        <f t="shared" si="145"/>
        <v>83484.117134914282</v>
      </c>
      <c r="J627" s="18">
        <f t="shared" si="146"/>
        <v>87908.775343064728</v>
      </c>
    </row>
    <row r="628" spans="2:10" x14ac:dyDescent="0.35">
      <c r="B628" s="44" t="s">
        <v>2544</v>
      </c>
      <c r="C628" s="5" t="s">
        <v>775</v>
      </c>
      <c r="D628" s="5" t="s">
        <v>34</v>
      </c>
      <c r="E628" s="3">
        <v>849678</v>
      </c>
      <c r="F628" s="3">
        <f>351265.58-829</f>
        <v>350436.58</v>
      </c>
      <c r="G628" s="54">
        <f t="shared" si="144"/>
        <v>600748.42285714287</v>
      </c>
      <c r="H628" s="75">
        <f>+G628*1.058</f>
        <v>635591.83138285717</v>
      </c>
      <c r="I628" s="3">
        <f t="shared" si="145"/>
        <v>670549.38210891432</v>
      </c>
      <c r="J628" s="18">
        <f t="shared" si="146"/>
        <v>706088.49936068675</v>
      </c>
    </row>
    <row r="629" spans="2:10" x14ac:dyDescent="0.35">
      <c r="B629" s="44" t="s">
        <v>2544</v>
      </c>
      <c r="C629" s="5" t="s">
        <v>784</v>
      </c>
      <c r="D629" s="5" t="s">
        <v>50</v>
      </c>
      <c r="E629" s="3">
        <v>8497</v>
      </c>
      <c r="F629" s="3">
        <v>2459.94</v>
      </c>
      <c r="G629" s="54">
        <f t="shared" si="144"/>
        <v>4217.04</v>
      </c>
      <c r="H629" s="75">
        <f>+G629*1.058</f>
        <v>4461.6283199999998</v>
      </c>
      <c r="I629" s="3">
        <f t="shared" si="145"/>
        <v>4707.0178775999993</v>
      </c>
      <c r="J629" s="18">
        <f t="shared" si="146"/>
        <v>4956.4898251127988</v>
      </c>
    </row>
    <row r="630" spans="2:10" x14ac:dyDescent="0.35">
      <c r="B630" s="44"/>
      <c r="C630" s="5" t="s">
        <v>779</v>
      </c>
      <c r="D630" s="5" t="s">
        <v>526</v>
      </c>
      <c r="E630" s="3">
        <v>12815</v>
      </c>
      <c r="F630" s="3">
        <v>2905.28</v>
      </c>
      <c r="G630" s="54">
        <f t="shared" si="144"/>
        <v>4980.4800000000005</v>
      </c>
      <c r="H630" s="75">
        <v>5000</v>
      </c>
      <c r="I630" s="3">
        <f t="shared" si="145"/>
        <v>5275</v>
      </c>
      <c r="J630" s="18">
        <f t="shared" si="146"/>
        <v>5554.5749999999998</v>
      </c>
    </row>
    <row r="631" spans="2:10" x14ac:dyDescent="0.35">
      <c r="B631" s="44" t="s">
        <v>2544</v>
      </c>
      <c r="C631" s="5" t="s">
        <v>792</v>
      </c>
      <c r="D631" s="5" t="s">
        <v>94</v>
      </c>
      <c r="E631" s="3">
        <v>0</v>
      </c>
      <c r="F631" s="3">
        <f>1365.15-96.5</f>
        <v>1268.6500000000001</v>
      </c>
      <c r="G631" s="54">
        <f t="shared" si="144"/>
        <v>2174.8285714285716</v>
      </c>
      <c r="H631" s="62">
        <f>+G631*1.06</f>
        <v>2305.318285714286</v>
      </c>
      <c r="I631" s="3">
        <f t="shared" si="145"/>
        <v>2432.1107914285717</v>
      </c>
      <c r="J631" s="18">
        <f t="shared" si="146"/>
        <v>2561.0126633742857</v>
      </c>
    </row>
    <row r="632" spans="2:10" x14ac:dyDescent="0.35">
      <c r="B632" s="44" t="s">
        <v>2544</v>
      </c>
      <c r="C632" s="5" t="s">
        <v>778</v>
      </c>
      <c r="D632" s="5" t="s">
        <v>40</v>
      </c>
      <c r="E632" s="3">
        <v>0</v>
      </c>
      <c r="F632" s="3">
        <v>0</v>
      </c>
      <c r="G632" s="54">
        <f t="shared" si="144"/>
        <v>0</v>
      </c>
      <c r="H632" s="62">
        <f>+G632*1.058</f>
        <v>0</v>
      </c>
      <c r="I632" s="3">
        <f t="shared" si="145"/>
        <v>0</v>
      </c>
      <c r="J632" s="18">
        <f t="shared" si="146"/>
        <v>0</v>
      </c>
    </row>
    <row r="633" spans="2:10" x14ac:dyDescent="0.35">
      <c r="B633" s="44" t="s">
        <v>2544</v>
      </c>
      <c r="C633" s="5" t="s">
        <v>797</v>
      </c>
      <c r="D633" s="5" t="s">
        <v>98</v>
      </c>
      <c r="E633" s="3">
        <v>14153</v>
      </c>
      <c r="F633" s="3">
        <v>21118.57</v>
      </c>
      <c r="G633" s="54">
        <f t="shared" si="144"/>
        <v>36203.262857142858</v>
      </c>
      <c r="H633" s="75">
        <v>37000</v>
      </c>
      <c r="I633" s="3">
        <f t="shared" si="145"/>
        <v>39035</v>
      </c>
      <c r="J633" s="18">
        <f t="shared" si="146"/>
        <v>41103.854999999996</v>
      </c>
    </row>
    <row r="634" spans="2:10" x14ac:dyDescent="0.35">
      <c r="B634" s="44" t="s">
        <v>2544</v>
      </c>
      <c r="C634" s="5" t="s">
        <v>782</v>
      </c>
      <c r="D634" s="5" t="s">
        <v>44</v>
      </c>
      <c r="E634" s="3">
        <v>8497</v>
      </c>
      <c r="F634" s="3">
        <v>3294.33</v>
      </c>
      <c r="G634" s="54">
        <f t="shared" si="144"/>
        <v>5647.4228571428575</v>
      </c>
      <c r="H634" s="75">
        <f>+G634*1.058</f>
        <v>5974.9733828571434</v>
      </c>
      <c r="I634" s="3">
        <f t="shared" si="145"/>
        <v>6303.5969189142861</v>
      </c>
      <c r="J634" s="18">
        <f t="shared" si="146"/>
        <v>6637.6875556167424</v>
      </c>
    </row>
    <row r="635" spans="2:10" x14ac:dyDescent="0.35">
      <c r="B635" s="44" t="s">
        <v>2544</v>
      </c>
      <c r="C635" s="5" t="s">
        <v>795</v>
      </c>
      <c r="D635" s="5" t="s">
        <v>796</v>
      </c>
      <c r="E635" s="3">
        <v>5041</v>
      </c>
      <c r="F635" s="3">
        <f>7455.95-61.91</f>
        <v>7394.04</v>
      </c>
      <c r="G635" s="54">
        <f t="shared" si="144"/>
        <v>12675.497142857141</v>
      </c>
      <c r="H635" s="75">
        <v>15000</v>
      </c>
      <c r="I635" s="3">
        <f t="shared" si="145"/>
        <v>15824.999999999998</v>
      </c>
      <c r="J635" s="18">
        <f t="shared" si="146"/>
        <v>16663.724999999999</v>
      </c>
    </row>
    <row r="636" spans="2:10" s="8" customFormat="1" x14ac:dyDescent="0.35">
      <c r="B636" s="33" t="s">
        <v>2546</v>
      </c>
      <c r="C636" s="5"/>
      <c r="D636" s="5"/>
      <c r="E636" s="10">
        <f>SUM(E601:E635)</f>
        <v>6584378</v>
      </c>
      <c r="F636" s="10">
        <f t="shared" ref="F636:J636" si="147">SUM(F601:F635)</f>
        <v>789004.08</v>
      </c>
      <c r="G636" s="59">
        <f t="shared" si="147"/>
        <v>1352578.422857143</v>
      </c>
      <c r="H636" s="63">
        <f t="shared" si="147"/>
        <v>1370200.6431771428</v>
      </c>
      <c r="I636" s="10">
        <f t="shared" si="147"/>
        <v>1392811.6785518855</v>
      </c>
      <c r="J636" s="22">
        <f t="shared" si="147"/>
        <v>1466630.6975151354</v>
      </c>
    </row>
    <row r="637" spans="2:10" s="8" customFormat="1" ht="6.75" customHeight="1" x14ac:dyDescent="0.35">
      <c r="B637" s="23"/>
      <c r="E637" s="39"/>
      <c r="F637" s="39"/>
      <c r="G637" s="39"/>
      <c r="H637" s="68"/>
      <c r="I637" s="39"/>
      <c r="J637" s="40"/>
    </row>
    <row r="638" spans="2:10" s="8" customFormat="1" ht="15" thickBot="1" x14ac:dyDescent="0.4">
      <c r="B638" s="35" t="s">
        <v>2548</v>
      </c>
      <c r="C638" s="25"/>
      <c r="D638" s="25"/>
      <c r="E638" s="26">
        <f>+E599+E636</f>
        <v>1084378</v>
      </c>
      <c r="F638" s="26">
        <f t="shared" ref="F638:J638" si="148">+F599+F636</f>
        <v>-578370.68000000005</v>
      </c>
      <c r="G638" s="60">
        <f t="shared" si="148"/>
        <v>-991492.59428571397</v>
      </c>
      <c r="H638" s="65">
        <f t="shared" si="148"/>
        <v>-1815791.1868799999</v>
      </c>
      <c r="I638" s="26">
        <f t="shared" si="148"/>
        <v>-1936759.7021584001</v>
      </c>
      <c r="J638" s="27">
        <f t="shared" si="148"/>
        <v>-2039407.9663727952</v>
      </c>
    </row>
    <row r="639" spans="2:10" s="8" customFormat="1" x14ac:dyDescent="0.35">
      <c r="B639" s="30"/>
      <c r="E639" s="9"/>
      <c r="F639" s="9"/>
      <c r="G639" s="9"/>
      <c r="H639" s="9"/>
      <c r="I639" s="9"/>
      <c r="J639" s="9"/>
    </row>
    <row r="640" spans="2:10" s="8" customFormat="1" x14ac:dyDescent="0.35">
      <c r="B640" s="30"/>
      <c r="E640" s="9"/>
      <c r="F640" s="9"/>
      <c r="G640" s="9"/>
      <c r="H640" s="9"/>
      <c r="I640" s="9"/>
      <c r="J640" s="9"/>
    </row>
    <row r="641" spans="1:10" s="8" customFormat="1" ht="15" thickBot="1" x14ac:dyDescent="0.4">
      <c r="A641" s="12" t="s">
        <v>2592</v>
      </c>
      <c r="B641" s="12" t="s">
        <v>2566</v>
      </c>
      <c r="E641" s="9"/>
      <c r="F641" s="9"/>
      <c r="G641" s="9"/>
      <c r="H641" s="9"/>
      <c r="I641" s="9"/>
      <c r="J641" s="9"/>
    </row>
    <row r="642" spans="1:10" x14ac:dyDescent="0.35">
      <c r="B642" s="31" t="s">
        <v>2543</v>
      </c>
      <c r="C642" s="14" t="s">
        <v>812</v>
      </c>
      <c r="D642" s="14" t="s">
        <v>813</v>
      </c>
      <c r="E642" s="15">
        <v>-2791776</v>
      </c>
      <c r="F642" s="15">
        <f>176630.52-1905569.09</f>
        <v>-1728938.57</v>
      </c>
      <c r="G642" s="58">
        <f t="shared" ref="G642:G648" si="149">+F642/7*12</f>
        <v>-2963894.6914285715</v>
      </c>
      <c r="H642" s="61">
        <f>+G642*1.06</f>
        <v>-3141728.3729142859</v>
      </c>
      <c r="I642" s="15">
        <f>+H642*1.055</f>
        <v>-3314523.4334245715</v>
      </c>
      <c r="J642" s="16">
        <f>+I642*1.053</f>
        <v>-3490193.1753960736</v>
      </c>
    </row>
    <row r="643" spans="1:10" x14ac:dyDescent="0.35">
      <c r="B643" s="32" t="s">
        <v>2543</v>
      </c>
      <c r="C643" s="5" t="s">
        <v>814</v>
      </c>
      <c r="D643" s="5" t="s">
        <v>815</v>
      </c>
      <c r="E643" s="3">
        <v>1059172</v>
      </c>
      <c r="F643" s="3">
        <v>524485.78</v>
      </c>
      <c r="G643" s="54">
        <f t="shared" si="149"/>
        <v>899118.4800000001</v>
      </c>
      <c r="H643" s="62"/>
      <c r="I643" s="3">
        <f t="shared" ref="I643:I648" si="150">+H643*1.055</f>
        <v>0</v>
      </c>
      <c r="J643" s="18">
        <f t="shared" ref="J643:J648" si="151">+I643*1.053</f>
        <v>0</v>
      </c>
    </row>
    <row r="644" spans="1:10" x14ac:dyDescent="0.35">
      <c r="B644" s="32"/>
      <c r="C644" s="5"/>
      <c r="D644" s="5" t="s">
        <v>2626</v>
      </c>
      <c r="E644" s="3"/>
      <c r="F644" s="3"/>
      <c r="G644" s="54"/>
      <c r="H644" s="62">
        <v>-10000</v>
      </c>
      <c r="I644" s="3"/>
      <c r="J644" s="18"/>
    </row>
    <row r="645" spans="1:10" x14ac:dyDescent="0.35">
      <c r="B645" s="32" t="s">
        <v>2543</v>
      </c>
      <c r="C645" s="5" t="s">
        <v>818</v>
      </c>
      <c r="D645" s="5" t="s">
        <v>126</v>
      </c>
      <c r="E645" s="3">
        <v>0</v>
      </c>
      <c r="F645" s="3">
        <v>0</v>
      </c>
      <c r="G645" s="54">
        <f t="shared" si="149"/>
        <v>0</v>
      </c>
      <c r="H645" s="62">
        <f t="shared" ref="H645:H648" si="152">+G645*1.06</f>
        <v>0</v>
      </c>
      <c r="I645" s="3">
        <f t="shared" si="150"/>
        <v>0</v>
      </c>
      <c r="J645" s="18">
        <f t="shared" si="151"/>
        <v>0</v>
      </c>
    </row>
    <row r="646" spans="1:10" x14ac:dyDescent="0.35">
      <c r="B646" s="32" t="s">
        <v>2543</v>
      </c>
      <c r="C646" s="5" t="s">
        <v>819</v>
      </c>
      <c r="D646" s="66" t="s">
        <v>16</v>
      </c>
      <c r="E646" s="3">
        <v>-4500000</v>
      </c>
      <c r="F646" s="3">
        <v>0</v>
      </c>
      <c r="G646" s="54">
        <f t="shared" si="149"/>
        <v>0</v>
      </c>
      <c r="H646" s="62">
        <f t="shared" si="152"/>
        <v>0</v>
      </c>
      <c r="I646" s="3">
        <f t="shared" si="150"/>
        <v>0</v>
      </c>
      <c r="J646" s="18">
        <f t="shared" si="151"/>
        <v>0</v>
      </c>
    </row>
    <row r="647" spans="1:10" x14ac:dyDescent="0.35">
      <c r="B647" s="32" t="s">
        <v>2543</v>
      </c>
      <c r="C647" s="5" t="s">
        <v>822</v>
      </c>
      <c r="D647" s="5" t="s">
        <v>30</v>
      </c>
      <c r="E647" s="3">
        <v>0</v>
      </c>
      <c r="F647" s="3">
        <v>0</v>
      </c>
      <c r="G647" s="54">
        <f t="shared" si="149"/>
        <v>0</v>
      </c>
      <c r="H647" s="62">
        <f t="shared" si="152"/>
        <v>0</v>
      </c>
      <c r="I647" s="3">
        <f t="shared" si="150"/>
        <v>0</v>
      </c>
      <c r="J647" s="18">
        <f t="shared" si="151"/>
        <v>0</v>
      </c>
    </row>
    <row r="648" spans="1:10" x14ac:dyDescent="0.35">
      <c r="B648" s="32" t="s">
        <v>2543</v>
      </c>
      <c r="C648" s="5" t="s">
        <v>823</v>
      </c>
      <c r="D648" s="5" t="s">
        <v>32</v>
      </c>
      <c r="E648" s="3">
        <v>0</v>
      </c>
      <c r="F648" s="3">
        <v>0</v>
      </c>
      <c r="G648" s="54">
        <f t="shared" si="149"/>
        <v>0</v>
      </c>
      <c r="H648" s="62">
        <f t="shared" si="152"/>
        <v>0</v>
      </c>
      <c r="I648" s="3">
        <f t="shared" si="150"/>
        <v>0</v>
      </c>
      <c r="J648" s="18">
        <f t="shared" si="151"/>
        <v>0</v>
      </c>
    </row>
    <row r="649" spans="1:10" s="8" customFormat="1" x14ac:dyDescent="0.35">
      <c r="B649" s="33" t="s">
        <v>2545</v>
      </c>
      <c r="C649" s="5"/>
      <c r="D649" s="5"/>
      <c r="E649" s="10">
        <f t="shared" ref="E649:J649" si="153">SUM(E642:E648)</f>
        <v>-6232604</v>
      </c>
      <c r="F649" s="10">
        <f t="shared" si="153"/>
        <v>-1204452.79</v>
      </c>
      <c r="G649" s="59">
        <f t="shared" si="153"/>
        <v>-2064776.2114285715</v>
      </c>
      <c r="H649" s="63">
        <f t="shared" si="153"/>
        <v>-3151728.3729142859</v>
      </c>
      <c r="I649" s="10">
        <f t="shared" si="153"/>
        <v>-3314523.4334245715</v>
      </c>
      <c r="J649" s="22">
        <f t="shared" si="153"/>
        <v>-3490193.1753960736</v>
      </c>
    </row>
    <row r="650" spans="1:10" s="8" customFormat="1" x14ac:dyDescent="0.35">
      <c r="B650" s="23"/>
      <c r="E650" s="9"/>
      <c r="F650" s="9"/>
      <c r="G650" s="9"/>
      <c r="H650" s="64"/>
      <c r="I650" s="9"/>
      <c r="J650" s="21"/>
    </row>
    <row r="651" spans="1:10" x14ac:dyDescent="0.35">
      <c r="B651" s="32" t="s">
        <v>2544</v>
      </c>
      <c r="C651" s="5" t="s">
        <v>829</v>
      </c>
      <c r="D651" s="5" t="s">
        <v>197</v>
      </c>
      <c r="E651" s="3">
        <v>0</v>
      </c>
      <c r="F651" s="3">
        <v>0</v>
      </c>
      <c r="G651" s="54">
        <f t="shared" ref="G651:G656" si="154">+F651/7*12</f>
        <v>0</v>
      </c>
      <c r="H651" s="62">
        <f>+G651*1.058</f>
        <v>0</v>
      </c>
      <c r="I651" s="3">
        <f t="shared" ref="I651:I656" si="155">+H651*1.055</f>
        <v>0</v>
      </c>
      <c r="J651" s="18">
        <f t="shared" ref="J651:J656" si="156">+I651*1.053</f>
        <v>0</v>
      </c>
    </row>
    <row r="652" spans="1:10" x14ac:dyDescent="0.35">
      <c r="B652" s="32" t="s">
        <v>2544</v>
      </c>
      <c r="C652" s="5" t="s">
        <v>859</v>
      </c>
      <c r="D652" s="5" t="s">
        <v>760</v>
      </c>
      <c r="E652" s="3">
        <v>2964292</v>
      </c>
      <c r="F652" s="3">
        <v>0</v>
      </c>
      <c r="G652" s="54">
        <f t="shared" si="154"/>
        <v>0</v>
      </c>
      <c r="H652" s="62">
        <f>+G652*1.06</f>
        <v>0</v>
      </c>
      <c r="I652" s="3">
        <f t="shared" si="155"/>
        <v>0</v>
      </c>
      <c r="J652" s="18">
        <f t="shared" si="156"/>
        <v>0</v>
      </c>
    </row>
    <row r="653" spans="1:10" x14ac:dyDescent="0.35">
      <c r="B653" s="32" t="s">
        <v>2544</v>
      </c>
      <c r="C653" s="5" t="s">
        <v>840</v>
      </c>
      <c r="D653" s="5" t="s">
        <v>66</v>
      </c>
      <c r="E653" s="3">
        <v>0</v>
      </c>
      <c r="F653" s="3">
        <v>0</v>
      </c>
      <c r="G653" s="54">
        <f t="shared" si="154"/>
        <v>0</v>
      </c>
      <c r="H653" s="62">
        <f>+G653*1.06</f>
        <v>0</v>
      </c>
      <c r="I653" s="3">
        <f t="shared" si="155"/>
        <v>0</v>
      </c>
      <c r="J653" s="18">
        <f t="shared" si="156"/>
        <v>0</v>
      </c>
    </row>
    <row r="654" spans="1:10" x14ac:dyDescent="0.35">
      <c r="B654" s="32" t="s">
        <v>2544</v>
      </c>
      <c r="C654" s="5" t="s">
        <v>834</v>
      </c>
      <c r="D654" s="5" t="s">
        <v>46</v>
      </c>
      <c r="E654" s="3">
        <v>22046</v>
      </c>
      <c r="F654" s="3">
        <v>803.86</v>
      </c>
      <c r="G654" s="54">
        <f t="shared" si="154"/>
        <v>1378.0457142857144</v>
      </c>
      <c r="H654" s="75">
        <f>+G654*1.058</f>
        <v>1457.9723657142858</v>
      </c>
      <c r="I654" s="3">
        <f t="shared" si="155"/>
        <v>1538.1608458285714</v>
      </c>
      <c r="J654" s="18">
        <f t="shared" si="156"/>
        <v>1619.6833706574855</v>
      </c>
    </row>
    <row r="655" spans="1:10" x14ac:dyDescent="0.35">
      <c r="B655" s="32" t="s">
        <v>2544</v>
      </c>
      <c r="C655" s="5" t="s">
        <v>825</v>
      </c>
      <c r="D655" s="5" t="s">
        <v>36</v>
      </c>
      <c r="E655" s="3">
        <v>183717</v>
      </c>
      <c r="F655" s="3">
        <v>156910.07</v>
      </c>
      <c r="G655" s="54">
        <f t="shared" si="154"/>
        <v>268988.69142857147</v>
      </c>
      <c r="H655" s="75">
        <f>+G655*1.058</f>
        <v>284590.03553142864</v>
      </c>
      <c r="I655" s="3">
        <f t="shared" si="155"/>
        <v>300242.48748565721</v>
      </c>
      <c r="J655" s="18">
        <f t="shared" si="156"/>
        <v>316155.33932239702</v>
      </c>
    </row>
    <row r="656" spans="1:10" x14ac:dyDescent="0.35">
      <c r="B656" s="32" t="s">
        <v>2544</v>
      </c>
      <c r="C656" s="5" t="s">
        <v>845</v>
      </c>
      <c r="D656" s="5" t="s">
        <v>541</v>
      </c>
      <c r="E656" s="3">
        <v>0</v>
      </c>
      <c r="F656" s="3">
        <v>0</v>
      </c>
      <c r="G656" s="54">
        <f t="shared" si="154"/>
        <v>0</v>
      </c>
      <c r="H656" s="62">
        <f>+G656*1.06</f>
        <v>0</v>
      </c>
      <c r="I656" s="3">
        <f t="shared" si="155"/>
        <v>0</v>
      </c>
      <c r="J656" s="18">
        <f t="shared" si="156"/>
        <v>0</v>
      </c>
    </row>
    <row r="657" spans="2:10" x14ac:dyDescent="0.35">
      <c r="B657" s="32" t="s">
        <v>2544</v>
      </c>
      <c r="C657" s="5"/>
      <c r="D657" s="5" t="s">
        <v>2646</v>
      </c>
      <c r="E657" s="3"/>
      <c r="F657" s="3"/>
      <c r="G657" s="54"/>
      <c r="H657" s="75">
        <v>1150000</v>
      </c>
      <c r="I657" s="3"/>
      <c r="J657" s="18"/>
    </row>
    <row r="658" spans="2:10" x14ac:dyDescent="0.35">
      <c r="B658" s="32" t="s">
        <v>2544</v>
      </c>
      <c r="C658" s="5" t="s">
        <v>838</v>
      </c>
      <c r="D658" s="5" t="s">
        <v>298</v>
      </c>
      <c r="E658" s="3">
        <v>699000</v>
      </c>
      <c r="F658" s="3">
        <v>0</v>
      </c>
      <c r="G658" s="54">
        <f>+F658/7*12</f>
        <v>0</v>
      </c>
      <c r="H658" s="62">
        <f>+G658*1.06</f>
        <v>0</v>
      </c>
      <c r="I658" s="3">
        <f>+H658*1.055</f>
        <v>0</v>
      </c>
      <c r="J658" s="18">
        <f>+I658*1.053</f>
        <v>0</v>
      </c>
    </row>
    <row r="659" spans="2:10" x14ac:dyDescent="0.35">
      <c r="B659" s="32" t="s">
        <v>2544</v>
      </c>
      <c r="C659" s="5" t="s">
        <v>839</v>
      </c>
      <c r="D659" s="5" t="s">
        <v>64</v>
      </c>
      <c r="E659" s="3">
        <v>1010000</v>
      </c>
      <c r="F659" s="3">
        <v>0</v>
      </c>
      <c r="G659" s="54">
        <f>+F659/7*12</f>
        <v>0</v>
      </c>
      <c r="H659" s="62">
        <f>+G659*1.06</f>
        <v>0</v>
      </c>
      <c r="I659" s="3">
        <f>+H659*1.055</f>
        <v>0</v>
      </c>
      <c r="J659" s="18">
        <f>+I659*1.053</f>
        <v>0</v>
      </c>
    </row>
    <row r="660" spans="2:10" x14ac:dyDescent="0.35">
      <c r="B660" s="32" t="s">
        <v>2544</v>
      </c>
      <c r="C660" s="5" t="s">
        <v>846</v>
      </c>
      <c r="D660" s="5" t="s">
        <v>543</v>
      </c>
      <c r="E660" s="3">
        <v>324800</v>
      </c>
      <c r="F660" s="3">
        <f>207395.16-287.4</f>
        <v>207107.76</v>
      </c>
      <c r="G660" s="54">
        <f>+F660/7*12</f>
        <v>355041.87428571429</v>
      </c>
      <c r="H660" s="75">
        <v>255000</v>
      </c>
      <c r="I660" s="3">
        <f>+H660*1.055</f>
        <v>269025</v>
      </c>
      <c r="J660" s="18">
        <f>+I660*1.053</f>
        <v>283283.32500000001</v>
      </c>
    </row>
    <row r="661" spans="2:10" x14ac:dyDescent="0.35">
      <c r="B661" s="32" t="s">
        <v>2544</v>
      </c>
      <c r="C661" s="5" t="s">
        <v>841</v>
      </c>
      <c r="D661" s="5" t="s">
        <v>68</v>
      </c>
      <c r="E661" s="3">
        <v>0</v>
      </c>
      <c r="F661" s="3">
        <v>0</v>
      </c>
      <c r="G661" s="54">
        <f>+F661/7*12</f>
        <v>0</v>
      </c>
      <c r="H661" s="62">
        <f>+G661*1.06</f>
        <v>0</v>
      </c>
      <c r="I661" s="3">
        <f>+H661*1.055</f>
        <v>0</v>
      </c>
      <c r="J661" s="18">
        <f>+I661*1.053</f>
        <v>0</v>
      </c>
    </row>
    <row r="662" spans="2:10" x14ac:dyDescent="0.35">
      <c r="B662" s="32" t="s">
        <v>2544</v>
      </c>
      <c r="C662" s="5"/>
      <c r="D662" s="5" t="s">
        <v>2645</v>
      </c>
      <c r="E662" s="3"/>
      <c r="F662" s="3"/>
      <c r="G662" s="54"/>
      <c r="H662" s="75"/>
      <c r="I662" s="3"/>
      <c r="J662" s="18"/>
    </row>
    <row r="663" spans="2:10" x14ac:dyDescent="0.35">
      <c r="B663" s="32" t="s">
        <v>2544</v>
      </c>
      <c r="C663" s="5" t="s">
        <v>842</v>
      </c>
      <c r="D663" s="5" t="s">
        <v>90</v>
      </c>
      <c r="E663" s="3">
        <v>6000</v>
      </c>
      <c r="F663" s="3">
        <v>6000</v>
      </c>
      <c r="G663" s="54">
        <f t="shared" ref="G663:G686" si="157">+F663/7*12</f>
        <v>10285.714285714286</v>
      </c>
      <c r="H663" s="62">
        <f>+G663*1.06</f>
        <v>10902.857142857143</v>
      </c>
      <c r="I663" s="3">
        <f t="shared" ref="I663:I686" si="158">+H663*1.055</f>
        <v>11502.514285714286</v>
      </c>
      <c r="J663" s="18">
        <f t="shared" ref="J663:J686" si="159">+I663*1.053</f>
        <v>12112.147542857141</v>
      </c>
    </row>
    <row r="664" spans="2:10" x14ac:dyDescent="0.35">
      <c r="B664" s="32" t="s">
        <v>2544</v>
      </c>
      <c r="C664" s="5" t="s">
        <v>854</v>
      </c>
      <c r="D664" s="5" t="s">
        <v>240</v>
      </c>
      <c r="E664" s="3">
        <v>0</v>
      </c>
      <c r="F664" s="3">
        <v>0</v>
      </c>
      <c r="G664" s="54">
        <f t="shared" si="157"/>
        <v>0</v>
      </c>
      <c r="H664" s="62">
        <f>+G664*1.06</f>
        <v>0</v>
      </c>
      <c r="I664" s="3">
        <f t="shared" si="158"/>
        <v>0</v>
      </c>
      <c r="J664" s="18">
        <f t="shared" si="159"/>
        <v>0</v>
      </c>
    </row>
    <row r="665" spans="2:10" x14ac:dyDescent="0.35">
      <c r="B665" s="32" t="s">
        <v>2544</v>
      </c>
      <c r="C665" s="5" t="s">
        <v>853</v>
      </c>
      <c r="D665" s="5" t="s">
        <v>238</v>
      </c>
      <c r="E665" s="3">
        <v>0</v>
      </c>
      <c r="F665" s="3">
        <v>0</v>
      </c>
      <c r="G665" s="54">
        <f t="shared" si="157"/>
        <v>0</v>
      </c>
      <c r="H665" s="62">
        <f>+G665*1.06</f>
        <v>0</v>
      </c>
      <c r="I665" s="3">
        <f t="shared" si="158"/>
        <v>0</v>
      </c>
      <c r="J665" s="18">
        <f t="shared" si="159"/>
        <v>0</v>
      </c>
    </row>
    <row r="666" spans="2:10" x14ac:dyDescent="0.35">
      <c r="B666" s="32" t="s">
        <v>2544</v>
      </c>
      <c r="C666" s="5" t="s">
        <v>852</v>
      </c>
      <c r="D666" s="5" t="s">
        <v>748</v>
      </c>
      <c r="E666" s="3">
        <v>0</v>
      </c>
      <c r="F666" s="3">
        <v>0</v>
      </c>
      <c r="G666" s="54">
        <f t="shared" si="157"/>
        <v>0</v>
      </c>
      <c r="H666" s="62">
        <f>+G666*1.06</f>
        <v>0</v>
      </c>
      <c r="I666" s="3">
        <f t="shared" si="158"/>
        <v>0</v>
      </c>
      <c r="J666" s="18">
        <f t="shared" si="159"/>
        <v>0</v>
      </c>
    </row>
    <row r="667" spans="2:10" x14ac:dyDescent="0.35">
      <c r="B667" s="32" t="s">
        <v>2544</v>
      </c>
      <c r="C667" s="5" t="s">
        <v>847</v>
      </c>
      <c r="D667" s="5" t="s">
        <v>848</v>
      </c>
      <c r="E667" s="3">
        <v>0</v>
      </c>
      <c r="F667" s="3">
        <v>0</v>
      </c>
      <c r="G667" s="54">
        <f t="shared" si="157"/>
        <v>0</v>
      </c>
      <c r="H667" s="62">
        <f>+G667*1.06</f>
        <v>0</v>
      </c>
      <c r="I667" s="3">
        <f t="shared" si="158"/>
        <v>0</v>
      </c>
      <c r="J667" s="18">
        <f t="shared" si="159"/>
        <v>0</v>
      </c>
    </row>
    <row r="668" spans="2:10" x14ac:dyDescent="0.35">
      <c r="B668" s="32" t="s">
        <v>2544</v>
      </c>
      <c r="C668" s="5" t="s">
        <v>837</v>
      </c>
      <c r="D668" s="5" t="s">
        <v>52</v>
      </c>
      <c r="E668" s="3">
        <v>0</v>
      </c>
      <c r="F668" s="3">
        <v>0</v>
      </c>
      <c r="G668" s="54">
        <f t="shared" si="157"/>
        <v>0</v>
      </c>
      <c r="H668" s="62">
        <f>+G668*1.058</f>
        <v>0</v>
      </c>
      <c r="I668" s="3">
        <f t="shared" si="158"/>
        <v>0</v>
      </c>
      <c r="J668" s="18">
        <f t="shared" si="159"/>
        <v>0</v>
      </c>
    </row>
    <row r="669" spans="2:10" x14ac:dyDescent="0.35">
      <c r="B669" s="32" t="s">
        <v>2544</v>
      </c>
      <c r="C669" s="5" t="s">
        <v>830</v>
      </c>
      <c r="D669" s="5" t="s">
        <v>831</v>
      </c>
      <c r="E669" s="3">
        <v>0</v>
      </c>
      <c r="F669" s="3">
        <v>25551.18</v>
      </c>
      <c r="G669" s="54">
        <f t="shared" si="157"/>
        <v>43802.02285714286</v>
      </c>
      <c r="H669" s="75">
        <f>+G669*1.058</f>
        <v>46342.540182857148</v>
      </c>
      <c r="I669" s="3">
        <f t="shared" si="158"/>
        <v>48891.379892914287</v>
      </c>
      <c r="J669" s="18">
        <f t="shared" si="159"/>
        <v>51482.62302723874</v>
      </c>
    </row>
    <row r="670" spans="2:10" x14ac:dyDescent="0.35">
      <c r="B670" s="32" t="s">
        <v>2544</v>
      </c>
      <c r="C670" s="5" t="s">
        <v>857</v>
      </c>
      <c r="D670" s="5" t="s">
        <v>120</v>
      </c>
      <c r="E670" s="3">
        <v>0</v>
      </c>
      <c r="F670" s="3">
        <v>0</v>
      </c>
      <c r="G670" s="54">
        <f t="shared" si="157"/>
        <v>0</v>
      </c>
      <c r="H670" s="62">
        <f>+G670*1.06</f>
        <v>0</v>
      </c>
      <c r="I670" s="3">
        <f t="shared" si="158"/>
        <v>0</v>
      </c>
      <c r="J670" s="18">
        <f t="shared" si="159"/>
        <v>0</v>
      </c>
    </row>
    <row r="671" spans="2:10" x14ac:dyDescent="0.35">
      <c r="B671" s="32" t="s">
        <v>2544</v>
      </c>
      <c r="C671" s="5" t="s">
        <v>856</v>
      </c>
      <c r="D671" s="5" t="s">
        <v>548</v>
      </c>
      <c r="E671" s="3">
        <v>300000</v>
      </c>
      <c r="F671" s="3">
        <f>240296.46-103.68</f>
        <v>240192.78</v>
      </c>
      <c r="G671" s="54">
        <f t="shared" si="157"/>
        <v>411759.0514285714</v>
      </c>
      <c r="H671" s="75">
        <v>252000</v>
      </c>
      <c r="I671" s="3">
        <f t="shared" si="158"/>
        <v>265860</v>
      </c>
      <c r="J671" s="18">
        <f t="shared" si="159"/>
        <v>279950.57999999996</v>
      </c>
    </row>
    <row r="672" spans="2:10" x14ac:dyDescent="0.35">
      <c r="B672" s="32" t="s">
        <v>2544</v>
      </c>
      <c r="C672" s="5" t="s">
        <v>855</v>
      </c>
      <c r="D672" s="5" t="s">
        <v>417</v>
      </c>
      <c r="E672" s="3">
        <v>200000</v>
      </c>
      <c r="F672" s="3">
        <f>257645.44-13594.55</f>
        <v>244050.89</v>
      </c>
      <c r="G672" s="54">
        <f t="shared" si="157"/>
        <v>418372.95428571431</v>
      </c>
      <c r="H672" s="75">
        <v>80000</v>
      </c>
      <c r="I672" s="3">
        <f t="shared" si="158"/>
        <v>84400</v>
      </c>
      <c r="J672" s="18">
        <f t="shared" si="159"/>
        <v>88873.2</v>
      </c>
    </row>
    <row r="673" spans="2:12" x14ac:dyDescent="0.35">
      <c r="B673" s="32" t="s">
        <v>2544</v>
      </c>
      <c r="C673" s="5" t="s">
        <v>835</v>
      </c>
      <c r="D673" s="5" t="s">
        <v>48</v>
      </c>
      <c r="E673" s="3">
        <v>0</v>
      </c>
      <c r="F673" s="3">
        <v>0</v>
      </c>
      <c r="G673" s="54">
        <f t="shared" si="157"/>
        <v>0</v>
      </c>
      <c r="H673" s="62">
        <f>+G673*1.058</f>
        <v>0</v>
      </c>
      <c r="I673" s="3">
        <f t="shared" si="158"/>
        <v>0</v>
      </c>
      <c r="J673" s="18">
        <f t="shared" si="159"/>
        <v>0</v>
      </c>
    </row>
    <row r="674" spans="2:12" x14ac:dyDescent="0.35">
      <c r="B674" s="32" t="s">
        <v>2544</v>
      </c>
      <c r="C674" s="5" t="s">
        <v>860</v>
      </c>
      <c r="D674" s="5" t="s">
        <v>368</v>
      </c>
      <c r="E674" s="3">
        <v>48000</v>
      </c>
      <c r="F674" s="3">
        <v>24764.05</v>
      </c>
      <c r="G674" s="54">
        <f t="shared" si="157"/>
        <v>42452.657142857141</v>
      </c>
      <c r="H674" s="62">
        <v>0</v>
      </c>
      <c r="I674" s="3">
        <f t="shared" si="158"/>
        <v>0</v>
      </c>
      <c r="J674" s="18">
        <f t="shared" si="159"/>
        <v>0</v>
      </c>
    </row>
    <row r="675" spans="2:12" x14ac:dyDescent="0.35">
      <c r="B675" s="32" t="s">
        <v>2544</v>
      </c>
      <c r="C675" s="5" t="s">
        <v>858</v>
      </c>
      <c r="D675" s="5" t="s">
        <v>420</v>
      </c>
      <c r="E675" s="3">
        <v>0</v>
      </c>
      <c r="F675" s="3">
        <v>0</v>
      </c>
      <c r="G675" s="54">
        <f t="shared" si="157"/>
        <v>0</v>
      </c>
      <c r="H675" s="62">
        <f>+G675*1.06</f>
        <v>0</v>
      </c>
      <c r="I675" s="3">
        <f t="shared" si="158"/>
        <v>0</v>
      </c>
      <c r="J675" s="18">
        <f t="shared" si="159"/>
        <v>0</v>
      </c>
    </row>
    <row r="676" spans="2:12" x14ac:dyDescent="0.35">
      <c r="B676" s="32" t="s">
        <v>2544</v>
      </c>
      <c r="C676" s="5" t="s">
        <v>843</v>
      </c>
      <c r="D676" s="5" t="s">
        <v>440</v>
      </c>
      <c r="E676" s="3">
        <v>15000</v>
      </c>
      <c r="F676" s="3">
        <v>3390.01</v>
      </c>
      <c r="G676" s="54">
        <f t="shared" si="157"/>
        <v>5811.4457142857145</v>
      </c>
      <c r="H676" s="62">
        <f>+G676*1.06</f>
        <v>6160.1324571428577</v>
      </c>
      <c r="I676" s="3">
        <f t="shared" si="158"/>
        <v>6498.9397422857146</v>
      </c>
      <c r="J676" s="18">
        <f t="shared" si="159"/>
        <v>6843.3835486268572</v>
      </c>
    </row>
    <row r="677" spans="2:12" x14ac:dyDescent="0.35">
      <c r="B677" s="32" t="s">
        <v>2544</v>
      </c>
      <c r="C677" s="5" t="s">
        <v>826</v>
      </c>
      <c r="D677" s="5" t="s">
        <v>38</v>
      </c>
      <c r="E677" s="3">
        <v>0</v>
      </c>
      <c r="F677" s="3">
        <v>33637.67</v>
      </c>
      <c r="G677" s="54">
        <f t="shared" si="157"/>
        <v>57664.577142857132</v>
      </c>
      <c r="H677" s="75">
        <f>+G677*1.058</f>
        <v>61009.12261714285</v>
      </c>
      <c r="I677" s="3">
        <f t="shared" si="158"/>
        <v>64364.624361085705</v>
      </c>
      <c r="J677" s="18">
        <f t="shared" si="159"/>
        <v>67775.949452223242</v>
      </c>
      <c r="L677">
        <v>380000</v>
      </c>
    </row>
    <row r="678" spans="2:12" x14ac:dyDescent="0.35">
      <c r="B678" s="32" t="s">
        <v>2544</v>
      </c>
      <c r="C678" s="5" t="s">
        <v>832</v>
      </c>
      <c r="D678" s="5" t="s">
        <v>42</v>
      </c>
      <c r="E678" s="3">
        <v>304996</v>
      </c>
      <c r="F678" s="3">
        <v>202601.94</v>
      </c>
      <c r="G678" s="54">
        <f t="shared" si="157"/>
        <v>347317.6114285714</v>
      </c>
      <c r="H678" s="75">
        <f>+G678*1.058</f>
        <v>367462.03289142856</v>
      </c>
      <c r="I678" s="3">
        <f t="shared" si="158"/>
        <v>387672.4447004571</v>
      </c>
      <c r="J678" s="18">
        <f t="shared" si="159"/>
        <v>408219.0842695813</v>
      </c>
      <c r="L678">
        <v>-125000</v>
      </c>
    </row>
    <row r="679" spans="2:12" x14ac:dyDescent="0.35">
      <c r="B679" s="32" t="s">
        <v>2544</v>
      </c>
      <c r="C679" s="5" t="s">
        <v>850</v>
      </c>
      <c r="D679" s="5" t="s">
        <v>851</v>
      </c>
      <c r="E679" s="3">
        <v>82000</v>
      </c>
      <c r="F679" s="3">
        <v>72991.259999999995</v>
      </c>
      <c r="G679" s="54">
        <f t="shared" si="157"/>
        <v>125127.87428571429</v>
      </c>
      <c r="H679" s="62"/>
      <c r="I679" s="3">
        <f t="shared" si="158"/>
        <v>0</v>
      </c>
      <c r="J679" s="18">
        <f t="shared" si="159"/>
        <v>0</v>
      </c>
    </row>
    <row r="680" spans="2:12" x14ac:dyDescent="0.35">
      <c r="B680" s="32" t="s">
        <v>2544</v>
      </c>
      <c r="C680" s="5" t="s">
        <v>824</v>
      </c>
      <c r="D680" s="5" t="s">
        <v>34</v>
      </c>
      <c r="E680" s="3">
        <v>2204609</v>
      </c>
      <c r="F680" s="3">
        <f>1003372.18-13198.74</f>
        <v>990173.44000000006</v>
      </c>
      <c r="G680" s="54">
        <f t="shared" si="157"/>
        <v>1697440.1828571432</v>
      </c>
      <c r="H680" s="75">
        <f>+G680*1.058</f>
        <v>1795891.7134628575</v>
      </c>
      <c r="I680" s="3">
        <f t="shared" si="158"/>
        <v>1894665.7577033145</v>
      </c>
      <c r="J680" s="18">
        <f t="shared" si="159"/>
        <v>1995083.0428615902</v>
      </c>
    </row>
    <row r="681" spans="2:12" x14ac:dyDescent="0.35">
      <c r="B681" s="32"/>
      <c r="C681" s="5" t="s">
        <v>836</v>
      </c>
      <c r="D681" s="5" t="s">
        <v>50</v>
      </c>
      <c r="E681" s="3">
        <v>22046</v>
      </c>
      <c r="F681" s="3">
        <v>9262.43</v>
      </c>
      <c r="G681" s="54">
        <f t="shared" si="157"/>
        <v>15878.451428571429</v>
      </c>
      <c r="H681" s="75">
        <f>+G681*1.058</f>
        <v>16799.401611428573</v>
      </c>
      <c r="I681" s="3">
        <f t="shared" si="158"/>
        <v>17723.368700057144</v>
      </c>
      <c r="J681" s="18">
        <f t="shared" si="159"/>
        <v>18662.707241160173</v>
      </c>
    </row>
    <row r="682" spans="2:12" x14ac:dyDescent="0.35">
      <c r="B682" s="32"/>
      <c r="C682" s="5" t="s">
        <v>828</v>
      </c>
      <c r="D682" s="5" t="s">
        <v>526</v>
      </c>
      <c r="E682" s="3">
        <v>0</v>
      </c>
      <c r="F682" s="3">
        <v>5288.66</v>
      </c>
      <c r="G682" s="54">
        <f t="shared" si="157"/>
        <v>9066.2742857142857</v>
      </c>
      <c r="H682" s="75">
        <f>+G682*1.058</f>
        <v>9592.1181942857147</v>
      </c>
      <c r="I682" s="3">
        <f t="shared" si="158"/>
        <v>10119.684694971429</v>
      </c>
      <c r="J682" s="18">
        <f t="shared" si="159"/>
        <v>10656.027983804914</v>
      </c>
    </row>
    <row r="683" spans="2:12" x14ac:dyDescent="0.35">
      <c r="B683" s="32" t="s">
        <v>2544</v>
      </c>
      <c r="C683" s="5" t="s">
        <v>844</v>
      </c>
      <c r="D683" s="5" t="s">
        <v>94</v>
      </c>
      <c r="E683" s="3">
        <v>0</v>
      </c>
      <c r="F683" s="3">
        <v>0</v>
      </c>
      <c r="G683" s="54">
        <f t="shared" si="157"/>
        <v>0</v>
      </c>
      <c r="H683" s="62">
        <f>+G683*1.06</f>
        <v>0</v>
      </c>
      <c r="I683" s="3">
        <f t="shared" si="158"/>
        <v>0</v>
      </c>
      <c r="J683" s="18">
        <f t="shared" si="159"/>
        <v>0</v>
      </c>
    </row>
    <row r="684" spans="2:12" x14ac:dyDescent="0.35">
      <c r="B684" s="32" t="s">
        <v>2544</v>
      </c>
      <c r="C684" s="5" t="s">
        <v>827</v>
      </c>
      <c r="D684" s="5" t="s">
        <v>40</v>
      </c>
      <c r="E684" s="3">
        <v>0</v>
      </c>
      <c r="F684" s="3">
        <v>0</v>
      </c>
      <c r="G684" s="54">
        <f t="shared" si="157"/>
        <v>0</v>
      </c>
      <c r="H684" s="62">
        <f>+G684*1.058</f>
        <v>0</v>
      </c>
      <c r="I684" s="3">
        <f t="shared" si="158"/>
        <v>0</v>
      </c>
      <c r="J684" s="18">
        <f t="shared" si="159"/>
        <v>0</v>
      </c>
    </row>
    <row r="685" spans="2:12" x14ac:dyDescent="0.35">
      <c r="B685" s="32" t="s">
        <v>2544</v>
      </c>
      <c r="C685" s="5" t="s">
        <v>849</v>
      </c>
      <c r="D685" s="5" t="s">
        <v>98</v>
      </c>
      <c r="E685" s="3">
        <v>9914</v>
      </c>
      <c r="F685" s="3">
        <v>4656.6499999999996</v>
      </c>
      <c r="G685" s="54">
        <f t="shared" si="157"/>
        <v>7982.8285714285712</v>
      </c>
      <c r="H685" s="75">
        <f>+G685*1.06</f>
        <v>8461.7982857142852</v>
      </c>
      <c r="I685" s="3">
        <f t="shared" si="158"/>
        <v>8927.1971914285696</v>
      </c>
      <c r="J685" s="18">
        <f t="shared" si="159"/>
        <v>9400.3386425742829</v>
      </c>
    </row>
    <row r="686" spans="2:12" x14ac:dyDescent="0.35">
      <c r="B686" s="32" t="s">
        <v>2544</v>
      </c>
      <c r="C686" s="5" t="s">
        <v>833</v>
      </c>
      <c r="D686" s="5" t="s">
        <v>44</v>
      </c>
      <c r="E686" s="3">
        <v>21835</v>
      </c>
      <c r="F686" s="3">
        <v>10499.4</v>
      </c>
      <c r="G686" s="54">
        <f t="shared" si="157"/>
        <v>17998.971428571429</v>
      </c>
      <c r="H686" s="75">
        <f>+G686*1.058</f>
        <v>19042.911771428571</v>
      </c>
      <c r="I686" s="3">
        <f t="shared" si="158"/>
        <v>20090.271918857143</v>
      </c>
      <c r="J686" s="18">
        <f t="shared" si="159"/>
        <v>21155.05633055657</v>
      </c>
    </row>
    <row r="687" spans="2:12" x14ac:dyDescent="0.35">
      <c r="B687" s="33" t="s">
        <v>2546</v>
      </c>
      <c r="C687" s="5"/>
      <c r="D687" s="5"/>
      <c r="E687" s="10">
        <f>SUM(E651:E686)</f>
        <v>8418255</v>
      </c>
      <c r="F687" s="10">
        <f t="shared" ref="F687:J687" si="160">SUM(F651:F686)</f>
        <v>2237882.0500000003</v>
      </c>
      <c r="G687" s="59">
        <f t="shared" si="160"/>
        <v>3836369.2285714285</v>
      </c>
      <c r="H687" s="63">
        <f t="shared" si="160"/>
        <v>4364712.6365142865</v>
      </c>
      <c r="I687" s="10">
        <f t="shared" si="160"/>
        <v>3391521.8315225719</v>
      </c>
      <c r="J687" s="22">
        <f t="shared" si="160"/>
        <v>3571272.4885932677</v>
      </c>
    </row>
    <row r="688" spans="2:12" s="8" customFormat="1" ht="8.25" customHeight="1" x14ac:dyDescent="0.35">
      <c r="B688" s="23"/>
      <c r="E688" s="39"/>
      <c r="F688" s="39"/>
      <c r="G688" s="39"/>
      <c r="H688" s="68"/>
      <c r="I688" s="39"/>
      <c r="J688" s="40"/>
    </row>
    <row r="689" spans="2:12" ht="15" thickBot="1" x14ac:dyDescent="0.4">
      <c r="B689" s="35" t="s">
        <v>2548</v>
      </c>
      <c r="C689" s="25"/>
      <c r="D689" s="25"/>
      <c r="E689" s="26">
        <f>+E649+E687</f>
        <v>2185651</v>
      </c>
      <c r="F689" s="26">
        <f t="shared" ref="F689:J689" si="161">+F649+F687</f>
        <v>1033429.2600000002</v>
      </c>
      <c r="G689" s="60">
        <f t="shared" si="161"/>
        <v>1771593.017142857</v>
      </c>
      <c r="H689" s="65">
        <f t="shared" si="161"/>
        <v>1212984.2636000006</v>
      </c>
      <c r="I689" s="26">
        <f t="shared" si="161"/>
        <v>76998.398098000325</v>
      </c>
      <c r="J689" s="27">
        <f t="shared" si="161"/>
        <v>81079.313197194133</v>
      </c>
    </row>
    <row r="692" spans="2:12" ht="15" thickBot="1" x14ac:dyDescent="0.4">
      <c r="B692" s="12" t="s">
        <v>2606</v>
      </c>
      <c r="C692" s="8"/>
      <c r="D692" s="8"/>
      <c r="E692" s="9"/>
      <c r="F692" s="9"/>
      <c r="G692" s="9"/>
      <c r="H692" s="9"/>
      <c r="I692" s="9"/>
      <c r="J692" s="9"/>
    </row>
    <row r="693" spans="2:12" x14ac:dyDescent="0.35">
      <c r="B693" s="31" t="s">
        <v>2543</v>
      </c>
      <c r="C693" s="14" t="s">
        <v>808</v>
      </c>
      <c r="D693" s="69" t="s">
        <v>809</v>
      </c>
      <c r="E693" s="15">
        <v>-2967684</v>
      </c>
      <c r="F693" s="15">
        <f>90-1514410</f>
        <v>-1514320</v>
      </c>
      <c r="G693" s="58">
        <f t="shared" ref="G693:G700" si="162">+F693/7*12</f>
        <v>-2595977.1428571427</v>
      </c>
      <c r="H693" s="76">
        <f>+G693*1.06</f>
        <v>-2751735.7714285715</v>
      </c>
      <c r="I693" s="15">
        <f>+H693*1.055</f>
        <v>-2903081.2388571426</v>
      </c>
      <c r="J693" s="16">
        <f>+I693*1.053</f>
        <v>-3056944.5445165709</v>
      </c>
    </row>
    <row r="694" spans="2:12" x14ac:dyDescent="0.35">
      <c r="B694" s="32" t="s">
        <v>2543</v>
      </c>
      <c r="C694" s="5" t="s">
        <v>810</v>
      </c>
      <c r="D694" s="66" t="s">
        <v>811</v>
      </c>
      <c r="E694" s="3">
        <v>1208321</v>
      </c>
      <c r="F694" s="3">
        <v>538112.97</v>
      </c>
      <c r="G694" s="54">
        <f t="shared" si="162"/>
        <v>922479.37714285706</v>
      </c>
      <c r="H694" s="62"/>
      <c r="I694" s="3">
        <f t="shared" ref="I694:I700" si="163">+H694*1.055</f>
        <v>0</v>
      </c>
      <c r="J694" s="18">
        <f t="shared" ref="J694:J700" si="164">+I694*1.053</f>
        <v>0</v>
      </c>
    </row>
    <row r="695" spans="2:12" x14ac:dyDescent="0.35">
      <c r="B695" s="32" t="s">
        <v>2543</v>
      </c>
      <c r="C695" s="5" t="s">
        <v>816</v>
      </c>
      <c r="D695" s="66" t="s">
        <v>817</v>
      </c>
      <c r="E695" s="3">
        <v>-4800</v>
      </c>
      <c r="F695" s="3">
        <f>196.8-1821.9</f>
        <v>-1625.1000000000001</v>
      </c>
      <c r="G695" s="54">
        <f t="shared" si="162"/>
        <v>-2785.8857142857146</v>
      </c>
      <c r="H695" s="75">
        <v>-9000</v>
      </c>
      <c r="I695" s="3">
        <f t="shared" si="163"/>
        <v>-9495</v>
      </c>
      <c r="J695" s="18">
        <f t="shared" si="164"/>
        <v>-9998.2349999999988</v>
      </c>
      <c r="L695">
        <f>3*250*12</f>
        <v>9000</v>
      </c>
    </row>
    <row r="696" spans="2:12" x14ac:dyDescent="0.35">
      <c r="B696" s="32" t="s">
        <v>2543</v>
      </c>
      <c r="C696" s="5" t="s">
        <v>818</v>
      </c>
      <c r="D696" s="66" t="s">
        <v>126</v>
      </c>
      <c r="E696" s="3">
        <v>0</v>
      </c>
      <c r="F696" s="3">
        <v>0</v>
      </c>
      <c r="G696" s="54">
        <f t="shared" si="162"/>
        <v>0</v>
      </c>
      <c r="H696" s="62">
        <f t="shared" ref="H696:H700" si="165">+G696*1.06</f>
        <v>0</v>
      </c>
      <c r="I696" s="3">
        <f t="shared" si="163"/>
        <v>0</v>
      </c>
      <c r="J696" s="18">
        <f t="shared" si="164"/>
        <v>0</v>
      </c>
    </row>
    <row r="697" spans="2:12" x14ac:dyDescent="0.35">
      <c r="B697" s="32" t="s">
        <v>2543</v>
      </c>
      <c r="C697" s="5" t="s">
        <v>819</v>
      </c>
      <c r="D697" s="66" t="s">
        <v>16</v>
      </c>
      <c r="E697" s="3"/>
      <c r="F697" s="3">
        <v>0</v>
      </c>
      <c r="G697" s="54">
        <f t="shared" si="162"/>
        <v>0</v>
      </c>
      <c r="H697" s="62">
        <f t="shared" si="165"/>
        <v>0</v>
      </c>
      <c r="I697" s="3">
        <f t="shared" si="163"/>
        <v>0</v>
      </c>
      <c r="J697" s="18">
        <f t="shared" si="164"/>
        <v>0</v>
      </c>
    </row>
    <row r="698" spans="2:12" x14ac:dyDescent="0.35">
      <c r="B698" s="32" t="s">
        <v>2543</v>
      </c>
      <c r="C698" s="5" t="s">
        <v>820</v>
      </c>
      <c r="D698" s="66" t="s">
        <v>821</v>
      </c>
      <c r="E698" s="3">
        <v>0</v>
      </c>
      <c r="F698" s="3">
        <v>0</v>
      </c>
      <c r="G698" s="54">
        <f t="shared" si="162"/>
        <v>0</v>
      </c>
      <c r="H698" s="62">
        <f t="shared" si="165"/>
        <v>0</v>
      </c>
      <c r="I698" s="3">
        <f t="shared" si="163"/>
        <v>0</v>
      </c>
      <c r="J698" s="18">
        <f t="shared" si="164"/>
        <v>0</v>
      </c>
    </row>
    <row r="699" spans="2:12" x14ac:dyDescent="0.35">
      <c r="B699" s="32" t="s">
        <v>2543</v>
      </c>
      <c r="C699" s="5" t="s">
        <v>822</v>
      </c>
      <c r="D699" s="66" t="s">
        <v>30</v>
      </c>
      <c r="E699" s="3">
        <v>0</v>
      </c>
      <c r="F699" s="3">
        <v>0</v>
      </c>
      <c r="G699" s="54">
        <f t="shared" si="162"/>
        <v>0</v>
      </c>
      <c r="H699" s="62">
        <f t="shared" si="165"/>
        <v>0</v>
      </c>
      <c r="I699" s="3">
        <f t="shared" si="163"/>
        <v>0</v>
      </c>
      <c r="J699" s="18">
        <f t="shared" si="164"/>
        <v>0</v>
      </c>
    </row>
    <row r="700" spans="2:12" x14ac:dyDescent="0.35">
      <c r="B700" s="32" t="s">
        <v>2543</v>
      </c>
      <c r="C700" s="5" t="s">
        <v>823</v>
      </c>
      <c r="D700" s="5" t="s">
        <v>32</v>
      </c>
      <c r="E700" s="3">
        <v>0</v>
      </c>
      <c r="F700" s="3">
        <v>0</v>
      </c>
      <c r="G700" s="54">
        <f t="shared" si="162"/>
        <v>0</v>
      </c>
      <c r="H700" s="62">
        <f t="shared" si="165"/>
        <v>0</v>
      </c>
      <c r="I700" s="3">
        <f t="shared" si="163"/>
        <v>0</v>
      </c>
      <c r="J700" s="18">
        <f t="shared" si="164"/>
        <v>0</v>
      </c>
    </row>
    <row r="701" spans="2:12" x14ac:dyDescent="0.35">
      <c r="B701" s="33" t="s">
        <v>2545</v>
      </c>
      <c r="C701" s="5"/>
      <c r="D701" s="5"/>
      <c r="E701" s="10">
        <f>SUM(E693:E700)</f>
        <v>-1764163</v>
      </c>
      <c r="F701" s="10">
        <f t="shared" ref="F701:J701" si="166">SUM(F693:F700)</f>
        <v>-977832.13</v>
      </c>
      <c r="G701" s="59">
        <f t="shared" si="166"/>
        <v>-1676283.6514285714</v>
      </c>
      <c r="H701" s="63">
        <f t="shared" si="166"/>
        <v>-2760735.7714285715</v>
      </c>
      <c r="I701" s="10">
        <f t="shared" si="166"/>
        <v>-2912576.2388571426</v>
      </c>
      <c r="J701" s="22">
        <f t="shared" si="166"/>
        <v>-3066942.7795165707</v>
      </c>
    </row>
    <row r="702" spans="2:12" s="8" customFormat="1" x14ac:dyDescent="0.35">
      <c r="B702" s="23"/>
      <c r="E702" s="9"/>
      <c r="F702" s="9"/>
      <c r="G702" s="9"/>
      <c r="H702" s="64"/>
      <c r="I702" s="9"/>
      <c r="J702" s="21"/>
    </row>
    <row r="703" spans="2:12" x14ac:dyDescent="0.35">
      <c r="B703" s="32" t="s">
        <v>2544</v>
      </c>
      <c r="C703" s="5" t="s">
        <v>829</v>
      </c>
      <c r="D703" s="5" t="s">
        <v>197</v>
      </c>
      <c r="E703" s="3"/>
      <c r="F703" s="3"/>
      <c r="G703" s="54"/>
      <c r="H703" s="62">
        <f>+G703*1.058</f>
        <v>0</v>
      </c>
      <c r="I703" s="3">
        <f t="shared" ref="I703:I712" si="167">+H703*1.055</f>
        <v>0</v>
      </c>
      <c r="J703" s="18">
        <f t="shared" ref="J703:J712" si="168">+I703*1.053</f>
        <v>0</v>
      </c>
    </row>
    <row r="704" spans="2:12" x14ac:dyDescent="0.35">
      <c r="B704" s="32" t="s">
        <v>2544</v>
      </c>
      <c r="C704" s="5" t="s">
        <v>859</v>
      </c>
      <c r="D704" s="5" t="s">
        <v>760</v>
      </c>
      <c r="E704" s="3"/>
      <c r="F704" s="3"/>
      <c r="G704" s="54"/>
      <c r="H704" s="62">
        <f>+G704*1.06</f>
        <v>0</v>
      </c>
      <c r="I704" s="3">
        <f t="shared" si="167"/>
        <v>0</v>
      </c>
      <c r="J704" s="18">
        <f t="shared" si="168"/>
        <v>0</v>
      </c>
    </row>
    <row r="705" spans="2:10" x14ac:dyDescent="0.35">
      <c r="B705" s="32" t="s">
        <v>2544</v>
      </c>
      <c r="C705" s="5" t="s">
        <v>840</v>
      </c>
      <c r="D705" s="5" t="s">
        <v>66</v>
      </c>
      <c r="E705" s="3"/>
      <c r="F705" s="3"/>
      <c r="G705" s="54"/>
      <c r="H705" s="62">
        <f>+G705*1.06</f>
        <v>0</v>
      </c>
      <c r="I705" s="3">
        <f t="shared" si="167"/>
        <v>0</v>
      </c>
      <c r="J705" s="18">
        <f t="shared" si="168"/>
        <v>0</v>
      </c>
    </row>
    <row r="706" spans="2:10" x14ac:dyDescent="0.35">
      <c r="B706" s="32" t="s">
        <v>2544</v>
      </c>
      <c r="C706" s="5" t="s">
        <v>834</v>
      </c>
      <c r="D706" s="5" t="s">
        <v>46</v>
      </c>
      <c r="E706" s="3"/>
      <c r="F706" s="3"/>
      <c r="G706" s="54"/>
      <c r="H706" s="62">
        <f>+G706*1.058</f>
        <v>0</v>
      </c>
      <c r="I706" s="3">
        <f t="shared" si="167"/>
        <v>0</v>
      </c>
      <c r="J706" s="18">
        <f t="shared" si="168"/>
        <v>0</v>
      </c>
    </row>
    <row r="707" spans="2:10" x14ac:dyDescent="0.35">
      <c r="B707" s="32" t="s">
        <v>2544</v>
      </c>
      <c r="C707" s="5" t="s">
        <v>825</v>
      </c>
      <c r="D707" s="5" t="s">
        <v>36</v>
      </c>
      <c r="E707" s="3"/>
      <c r="F707" s="3"/>
      <c r="G707" s="54"/>
      <c r="H707" s="62">
        <f>+G707*1.058</f>
        <v>0</v>
      </c>
      <c r="I707" s="3">
        <f t="shared" si="167"/>
        <v>0</v>
      </c>
      <c r="J707" s="18">
        <f t="shared" si="168"/>
        <v>0</v>
      </c>
    </row>
    <row r="708" spans="2:10" x14ac:dyDescent="0.35">
      <c r="B708" s="32" t="s">
        <v>2544</v>
      </c>
      <c r="C708" s="5" t="s">
        <v>845</v>
      </c>
      <c r="D708" s="5" t="s">
        <v>541</v>
      </c>
      <c r="E708" s="3"/>
      <c r="F708" s="3"/>
      <c r="G708" s="54"/>
      <c r="H708" s="62">
        <f>+G708*1.06</f>
        <v>0</v>
      </c>
      <c r="I708" s="3">
        <f t="shared" si="167"/>
        <v>0</v>
      </c>
      <c r="J708" s="18">
        <f t="shared" si="168"/>
        <v>0</v>
      </c>
    </row>
    <row r="709" spans="2:10" x14ac:dyDescent="0.35">
      <c r="B709" s="32" t="s">
        <v>2544</v>
      </c>
      <c r="C709" s="5" t="s">
        <v>838</v>
      </c>
      <c r="D709" s="5" t="s">
        <v>298</v>
      </c>
      <c r="E709" s="3"/>
      <c r="F709" s="3"/>
      <c r="G709" s="54"/>
      <c r="H709" s="62">
        <f>+G709*1.06</f>
        <v>0</v>
      </c>
      <c r="I709" s="3">
        <f t="shared" si="167"/>
        <v>0</v>
      </c>
      <c r="J709" s="18">
        <f t="shared" si="168"/>
        <v>0</v>
      </c>
    </row>
    <row r="710" spans="2:10" x14ac:dyDescent="0.35">
      <c r="B710" s="32" t="s">
        <v>2544</v>
      </c>
      <c r="C710" s="5" t="s">
        <v>839</v>
      </c>
      <c r="D710" s="5" t="s">
        <v>64</v>
      </c>
      <c r="E710" s="3"/>
      <c r="F710" s="3"/>
      <c r="G710" s="54"/>
      <c r="H710" s="62">
        <f>+G710*1.06</f>
        <v>0</v>
      </c>
      <c r="I710" s="3">
        <f t="shared" si="167"/>
        <v>0</v>
      </c>
      <c r="J710" s="18">
        <f t="shared" si="168"/>
        <v>0</v>
      </c>
    </row>
    <row r="711" spans="2:10" x14ac:dyDescent="0.35">
      <c r="B711" s="32" t="s">
        <v>2544</v>
      </c>
      <c r="C711" s="5" t="s">
        <v>846</v>
      </c>
      <c r="D711" s="5" t="s">
        <v>543</v>
      </c>
      <c r="E711" s="3"/>
      <c r="F711" s="3"/>
      <c r="G711" s="54"/>
      <c r="H711" s="62">
        <v>125000</v>
      </c>
      <c r="I711" s="3">
        <f t="shared" si="167"/>
        <v>131875</v>
      </c>
      <c r="J711" s="18">
        <f t="shared" si="168"/>
        <v>138864.375</v>
      </c>
    </row>
    <row r="712" spans="2:10" x14ac:dyDescent="0.35">
      <c r="B712" s="32" t="s">
        <v>2544</v>
      </c>
      <c r="C712" s="5" t="s">
        <v>841</v>
      </c>
      <c r="D712" s="5" t="s">
        <v>68</v>
      </c>
      <c r="E712" s="3"/>
      <c r="F712" s="3"/>
      <c r="G712" s="54"/>
      <c r="H712" s="62">
        <f>+G712*1.06</f>
        <v>0</v>
      </c>
      <c r="I712" s="3">
        <f t="shared" si="167"/>
        <v>0</v>
      </c>
      <c r="J712" s="18">
        <f t="shared" si="168"/>
        <v>0</v>
      </c>
    </row>
    <row r="713" spans="2:10" x14ac:dyDescent="0.35">
      <c r="B713" s="32" t="s">
        <v>2544</v>
      </c>
      <c r="C713" s="5"/>
      <c r="D713" s="5" t="s">
        <v>2645</v>
      </c>
      <c r="E713" s="3"/>
      <c r="F713" s="3"/>
      <c r="G713" s="54"/>
      <c r="H713" s="62"/>
      <c r="I713" s="3"/>
      <c r="J713" s="18"/>
    </row>
    <row r="714" spans="2:10" x14ac:dyDescent="0.35">
      <c r="B714" s="32" t="s">
        <v>2544</v>
      </c>
      <c r="C714" s="5" t="s">
        <v>842</v>
      </c>
      <c r="D714" s="5" t="s">
        <v>90</v>
      </c>
      <c r="E714" s="3"/>
      <c r="F714" s="3"/>
      <c r="G714" s="54"/>
      <c r="H714" s="62">
        <f>+G714*1.06</f>
        <v>0</v>
      </c>
      <c r="I714" s="3">
        <f t="shared" ref="I714:I737" si="169">+H714*1.055</f>
        <v>0</v>
      </c>
      <c r="J714" s="18">
        <f t="shared" ref="J714:J737" si="170">+I714*1.053</f>
        <v>0</v>
      </c>
    </row>
    <row r="715" spans="2:10" x14ac:dyDescent="0.35">
      <c r="B715" s="32" t="s">
        <v>2544</v>
      </c>
      <c r="C715" s="5" t="s">
        <v>854</v>
      </c>
      <c r="D715" s="5" t="s">
        <v>240</v>
      </c>
      <c r="E715" s="3"/>
      <c r="F715" s="3"/>
      <c r="G715" s="54"/>
      <c r="H715" s="62">
        <f>+G715*1.06</f>
        <v>0</v>
      </c>
      <c r="I715" s="3">
        <f t="shared" si="169"/>
        <v>0</v>
      </c>
      <c r="J715" s="18">
        <f t="shared" si="170"/>
        <v>0</v>
      </c>
    </row>
    <row r="716" spans="2:10" x14ac:dyDescent="0.35">
      <c r="B716" s="32" t="s">
        <v>2544</v>
      </c>
      <c r="C716" s="5" t="s">
        <v>853</v>
      </c>
      <c r="D716" s="5" t="s">
        <v>238</v>
      </c>
      <c r="E716" s="3"/>
      <c r="F716" s="3"/>
      <c r="G716" s="54"/>
      <c r="H716" s="62">
        <f>+G716*1.06</f>
        <v>0</v>
      </c>
      <c r="I716" s="3">
        <f t="shared" si="169"/>
        <v>0</v>
      </c>
      <c r="J716" s="18">
        <f t="shared" si="170"/>
        <v>0</v>
      </c>
    </row>
    <row r="717" spans="2:10" x14ac:dyDescent="0.35">
      <c r="B717" s="32" t="s">
        <v>2544</v>
      </c>
      <c r="C717" s="5" t="s">
        <v>852</v>
      </c>
      <c r="D717" s="5" t="s">
        <v>748</v>
      </c>
      <c r="E717" s="3"/>
      <c r="F717" s="3"/>
      <c r="G717" s="54"/>
      <c r="H717" s="62">
        <f>+G717*1.06</f>
        <v>0</v>
      </c>
      <c r="I717" s="3">
        <f t="shared" si="169"/>
        <v>0</v>
      </c>
      <c r="J717" s="18">
        <f t="shared" si="170"/>
        <v>0</v>
      </c>
    </row>
    <row r="718" spans="2:10" x14ac:dyDescent="0.35">
      <c r="B718" s="32" t="s">
        <v>2544</v>
      </c>
      <c r="C718" s="5" t="s">
        <v>847</v>
      </c>
      <c r="D718" s="5" t="s">
        <v>848</v>
      </c>
      <c r="E718" s="3"/>
      <c r="F718" s="3"/>
      <c r="G718" s="54"/>
      <c r="H718" s="62">
        <f>+G718*1.06</f>
        <v>0</v>
      </c>
      <c r="I718" s="3">
        <f t="shared" si="169"/>
        <v>0</v>
      </c>
      <c r="J718" s="18">
        <f t="shared" si="170"/>
        <v>0</v>
      </c>
    </row>
    <row r="719" spans="2:10" x14ac:dyDescent="0.35">
      <c r="B719" s="32" t="s">
        <v>2544</v>
      </c>
      <c r="C719" s="5" t="s">
        <v>837</v>
      </c>
      <c r="D719" s="5" t="s">
        <v>52</v>
      </c>
      <c r="E719" s="3"/>
      <c r="F719" s="3"/>
      <c r="G719" s="54"/>
      <c r="H719" s="62">
        <f>+G719*1.058</f>
        <v>0</v>
      </c>
      <c r="I719" s="3">
        <f t="shared" si="169"/>
        <v>0</v>
      </c>
      <c r="J719" s="18">
        <f t="shared" si="170"/>
        <v>0</v>
      </c>
    </row>
    <row r="720" spans="2:10" x14ac:dyDescent="0.35">
      <c r="B720" s="32" t="s">
        <v>2544</v>
      </c>
      <c r="C720" s="5" t="s">
        <v>830</v>
      </c>
      <c r="D720" s="5" t="s">
        <v>831</v>
      </c>
      <c r="E720" s="3"/>
      <c r="F720" s="3"/>
      <c r="G720" s="54"/>
      <c r="H720" s="62">
        <f>+G720*1.058</f>
        <v>0</v>
      </c>
      <c r="I720" s="3">
        <f t="shared" si="169"/>
        <v>0</v>
      </c>
      <c r="J720" s="18">
        <f t="shared" si="170"/>
        <v>0</v>
      </c>
    </row>
    <row r="721" spans="2:10" x14ac:dyDescent="0.35">
      <c r="B721" s="32" t="s">
        <v>2544</v>
      </c>
      <c r="C721" s="5" t="s">
        <v>857</v>
      </c>
      <c r="D721" s="5" t="s">
        <v>120</v>
      </c>
      <c r="E721" s="3"/>
      <c r="F721" s="3"/>
      <c r="G721" s="54"/>
      <c r="H721" s="62">
        <f>+G721*1.06</f>
        <v>0</v>
      </c>
      <c r="I721" s="3">
        <f t="shared" si="169"/>
        <v>0</v>
      </c>
      <c r="J721" s="18">
        <f t="shared" si="170"/>
        <v>0</v>
      </c>
    </row>
    <row r="722" spans="2:10" x14ac:dyDescent="0.35">
      <c r="B722" s="32" t="s">
        <v>2544</v>
      </c>
      <c r="C722" s="5" t="s">
        <v>856</v>
      </c>
      <c r="D722" s="5" t="s">
        <v>548</v>
      </c>
      <c r="E722" s="3"/>
      <c r="F722" s="3"/>
      <c r="G722" s="54"/>
      <c r="H722" s="62">
        <v>168000</v>
      </c>
      <c r="I722" s="3">
        <f t="shared" si="169"/>
        <v>177240</v>
      </c>
      <c r="J722" s="18">
        <f t="shared" si="170"/>
        <v>186633.72</v>
      </c>
    </row>
    <row r="723" spans="2:10" x14ac:dyDescent="0.35">
      <c r="B723" s="32" t="s">
        <v>2544</v>
      </c>
      <c r="C723" s="5" t="s">
        <v>855</v>
      </c>
      <c r="D723" s="5" t="s">
        <v>417</v>
      </c>
      <c r="E723" s="3"/>
      <c r="F723" s="3"/>
      <c r="G723" s="54"/>
      <c r="H723" s="62">
        <v>85000</v>
      </c>
      <c r="I723" s="3">
        <f t="shared" si="169"/>
        <v>89675</v>
      </c>
      <c r="J723" s="18">
        <f t="shared" si="170"/>
        <v>94427.774999999994</v>
      </c>
    </row>
    <row r="724" spans="2:10" x14ac:dyDescent="0.35">
      <c r="B724" s="32" t="s">
        <v>2544</v>
      </c>
      <c r="C724" s="5" t="s">
        <v>835</v>
      </c>
      <c r="D724" s="5" t="s">
        <v>48</v>
      </c>
      <c r="E724" s="3"/>
      <c r="F724" s="3"/>
      <c r="G724" s="54"/>
      <c r="H724" s="62">
        <f>+G724*1.058</f>
        <v>0</v>
      </c>
      <c r="I724" s="3">
        <f t="shared" si="169"/>
        <v>0</v>
      </c>
      <c r="J724" s="18">
        <f t="shared" si="170"/>
        <v>0</v>
      </c>
    </row>
    <row r="725" spans="2:10" x14ac:dyDescent="0.35">
      <c r="B725" s="32" t="s">
        <v>2544</v>
      </c>
      <c r="C725" s="5" t="s">
        <v>860</v>
      </c>
      <c r="D725" s="5" t="s">
        <v>368</v>
      </c>
      <c r="E725" s="3"/>
      <c r="F725" s="3"/>
      <c r="G725" s="54"/>
      <c r="H725" s="62">
        <v>0</v>
      </c>
      <c r="I725" s="3">
        <f t="shared" si="169"/>
        <v>0</v>
      </c>
      <c r="J725" s="18">
        <f t="shared" si="170"/>
        <v>0</v>
      </c>
    </row>
    <row r="726" spans="2:10" x14ac:dyDescent="0.35">
      <c r="B726" s="32" t="s">
        <v>2544</v>
      </c>
      <c r="C726" s="5" t="s">
        <v>858</v>
      </c>
      <c r="D726" s="5" t="s">
        <v>420</v>
      </c>
      <c r="E726" s="3"/>
      <c r="F726" s="3"/>
      <c r="G726" s="54"/>
      <c r="H726" s="62">
        <f>+G726*1.06</f>
        <v>0</v>
      </c>
      <c r="I726" s="3">
        <f t="shared" si="169"/>
        <v>0</v>
      </c>
      <c r="J726" s="18">
        <f t="shared" si="170"/>
        <v>0</v>
      </c>
    </row>
    <row r="727" spans="2:10" x14ac:dyDescent="0.35">
      <c r="B727" s="32" t="s">
        <v>2544</v>
      </c>
      <c r="C727" s="5" t="s">
        <v>843</v>
      </c>
      <c r="D727" s="5" t="s">
        <v>440</v>
      </c>
      <c r="E727" s="3"/>
      <c r="F727" s="3"/>
      <c r="G727" s="54"/>
      <c r="H727" s="62">
        <f>+G727*1.06</f>
        <v>0</v>
      </c>
      <c r="I727" s="3">
        <f t="shared" si="169"/>
        <v>0</v>
      </c>
      <c r="J727" s="18">
        <f t="shared" si="170"/>
        <v>0</v>
      </c>
    </row>
    <row r="728" spans="2:10" x14ac:dyDescent="0.35">
      <c r="B728" s="32" t="s">
        <v>2544</v>
      </c>
      <c r="C728" s="5" t="s">
        <v>826</v>
      </c>
      <c r="D728" s="5" t="s">
        <v>38</v>
      </c>
      <c r="E728" s="3"/>
      <c r="F728" s="3"/>
      <c r="G728" s="54"/>
      <c r="H728" s="62">
        <f>+G728*1.058</f>
        <v>0</v>
      </c>
      <c r="I728" s="3">
        <f t="shared" si="169"/>
        <v>0</v>
      </c>
      <c r="J728" s="18">
        <f t="shared" si="170"/>
        <v>0</v>
      </c>
    </row>
    <row r="729" spans="2:10" x14ac:dyDescent="0.35">
      <c r="B729" s="32" t="s">
        <v>2544</v>
      </c>
      <c r="C729" s="5" t="s">
        <v>832</v>
      </c>
      <c r="D729" s="5" t="s">
        <v>42</v>
      </c>
      <c r="E729" s="3"/>
      <c r="F729" s="3"/>
      <c r="G729" s="54"/>
      <c r="H729" s="62">
        <f>+G729*1.058</f>
        <v>0</v>
      </c>
      <c r="I729" s="3">
        <f t="shared" si="169"/>
        <v>0</v>
      </c>
      <c r="J729" s="18">
        <f t="shared" si="170"/>
        <v>0</v>
      </c>
    </row>
    <row r="730" spans="2:10" x14ac:dyDescent="0.35">
      <c r="B730" s="32" t="s">
        <v>2544</v>
      </c>
      <c r="C730" s="5" t="s">
        <v>850</v>
      </c>
      <c r="D730" s="5" t="s">
        <v>851</v>
      </c>
      <c r="E730" s="3"/>
      <c r="F730" s="3"/>
      <c r="G730" s="54"/>
      <c r="H730" s="62">
        <v>105000</v>
      </c>
      <c r="I730" s="3">
        <f t="shared" si="169"/>
        <v>110775</v>
      </c>
      <c r="J730" s="18">
        <f t="shared" si="170"/>
        <v>116646.075</v>
      </c>
    </row>
    <row r="731" spans="2:10" x14ac:dyDescent="0.35">
      <c r="B731" s="32" t="s">
        <v>2544</v>
      </c>
      <c r="C731" s="5" t="s">
        <v>824</v>
      </c>
      <c r="D731" s="5" t="s">
        <v>34</v>
      </c>
      <c r="E731" s="3"/>
      <c r="F731" s="3"/>
      <c r="G731" s="54"/>
      <c r="H731" s="62">
        <f>+G731*1.058</f>
        <v>0</v>
      </c>
      <c r="I731" s="3">
        <f t="shared" si="169"/>
        <v>0</v>
      </c>
      <c r="J731" s="18">
        <f t="shared" si="170"/>
        <v>0</v>
      </c>
    </row>
    <row r="732" spans="2:10" x14ac:dyDescent="0.35">
      <c r="B732" s="32" t="s">
        <v>2544</v>
      </c>
      <c r="C732" s="5" t="s">
        <v>836</v>
      </c>
      <c r="D732" s="5" t="s">
        <v>50</v>
      </c>
      <c r="E732" s="3"/>
      <c r="F732" s="3"/>
      <c r="G732" s="54"/>
      <c r="H732" s="62">
        <f>+G732*1.058</f>
        <v>0</v>
      </c>
      <c r="I732" s="3">
        <f t="shared" si="169"/>
        <v>0</v>
      </c>
      <c r="J732" s="18">
        <f t="shared" si="170"/>
        <v>0</v>
      </c>
    </row>
    <row r="733" spans="2:10" x14ac:dyDescent="0.35">
      <c r="B733" s="32"/>
      <c r="C733" s="5" t="s">
        <v>828</v>
      </c>
      <c r="D733" s="5" t="s">
        <v>526</v>
      </c>
      <c r="E733" s="3"/>
      <c r="F733" s="3"/>
      <c r="G733" s="54"/>
      <c r="H733" s="62">
        <f>+G733*1.058</f>
        <v>0</v>
      </c>
      <c r="I733" s="3">
        <f t="shared" si="169"/>
        <v>0</v>
      </c>
      <c r="J733" s="18">
        <f t="shared" si="170"/>
        <v>0</v>
      </c>
    </row>
    <row r="734" spans="2:10" x14ac:dyDescent="0.35">
      <c r="B734" s="32" t="s">
        <v>2544</v>
      </c>
      <c r="C734" s="5" t="s">
        <v>844</v>
      </c>
      <c r="D734" s="5" t="s">
        <v>94</v>
      </c>
      <c r="E734" s="3"/>
      <c r="F734" s="3"/>
      <c r="G734" s="54"/>
      <c r="H734" s="62">
        <f>+G734*1.06</f>
        <v>0</v>
      </c>
      <c r="I734" s="3">
        <f t="shared" si="169"/>
        <v>0</v>
      </c>
      <c r="J734" s="18">
        <f t="shared" si="170"/>
        <v>0</v>
      </c>
    </row>
    <row r="735" spans="2:10" x14ac:dyDescent="0.35">
      <c r="B735" s="32" t="s">
        <v>2544</v>
      </c>
      <c r="C735" s="5" t="s">
        <v>827</v>
      </c>
      <c r="D735" s="5" t="s">
        <v>40</v>
      </c>
      <c r="E735" s="3"/>
      <c r="F735" s="3"/>
      <c r="G735" s="54"/>
      <c r="H735" s="62">
        <f>+G735*1.058</f>
        <v>0</v>
      </c>
      <c r="I735" s="3">
        <f t="shared" si="169"/>
        <v>0</v>
      </c>
      <c r="J735" s="18">
        <f t="shared" si="170"/>
        <v>0</v>
      </c>
    </row>
    <row r="736" spans="2:10" x14ac:dyDescent="0.35">
      <c r="B736" s="32" t="s">
        <v>2544</v>
      </c>
      <c r="C736" s="5" t="s">
        <v>849</v>
      </c>
      <c r="D736" s="5" t="s">
        <v>98</v>
      </c>
      <c r="E736" s="3"/>
      <c r="F736" s="3"/>
      <c r="G736" s="54"/>
      <c r="H736" s="62">
        <f>+G736*1.06</f>
        <v>0</v>
      </c>
      <c r="I736" s="3">
        <f t="shared" si="169"/>
        <v>0</v>
      </c>
      <c r="J736" s="18">
        <f t="shared" si="170"/>
        <v>0</v>
      </c>
    </row>
    <row r="737" spans="2:10" x14ac:dyDescent="0.35">
      <c r="B737" s="32" t="s">
        <v>2544</v>
      </c>
      <c r="C737" s="5" t="s">
        <v>833</v>
      </c>
      <c r="D737" s="5" t="s">
        <v>44</v>
      </c>
      <c r="E737" s="3"/>
      <c r="F737" s="3"/>
      <c r="G737" s="54"/>
      <c r="H737" s="62">
        <f>+G737*1.058</f>
        <v>0</v>
      </c>
      <c r="I737" s="3">
        <f t="shared" si="169"/>
        <v>0</v>
      </c>
      <c r="J737" s="18">
        <f t="shared" si="170"/>
        <v>0</v>
      </c>
    </row>
    <row r="738" spans="2:10" x14ac:dyDescent="0.35">
      <c r="B738" s="33" t="s">
        <v>2546</v>
      </c>
      <c r="C738" s="5"/>
      <c r="D738" s="5"/>
      <c r="E738" s="10">
        <f>SUM(E703:E737)</f>
        <v>0</v>
      </c>
      <c r="F738" s="10">
        <f t="shared" ref="F738:J738" si="171">SUM(F703:F737)</f>
        <v>0</v>
      </c>
      <c r="G738" s="59">
        <f t="shared" si="171"/>
        <v>0</v>
      </c>
      <c r="H738" s="63">
        <f t="shared" si="171"/>
        <v>483000</v>
      </c>
      <c r="I738" s="10">
        <f t="shared" si="171"/>
        <v>509565</v>
      </c>
      <c r="J738" s="22">
        <f t="shared" si="171"/>
        <v>536571.94499999995</v>
      </c>
    </row>
    <row r="739" spans="2:10" s="8" customFormat="1" ht="9.75" customHeight="1" x14ac:dyDescent="0.35">
      <c r="B739" s="23"/>
      <c r="E739" s="39"/>
      <c r="F739" s="39"/>
      <c r="G739" s="39"/>
      <c r="H739" s="68"/>
      <c r="I739" s="39"/>
      <c r="J739" s="40"/>
    </row>
    <row r="740" spans="2:10" ht="15" thickBot="1" x14ac:dyDescent="0.4">
      <c r="B740" s="35" t="s">
        <v>2548</v>
      </c>
      <c r="C740" s="25"/>
      <c r="D740" s="25"/>
      <c r="E740" s="26">
        <f>+E701+E738</f>
        <v>-1764163</v>
      </c>
      <c r="F740" s="26">
        <f t="shared" ref="F740:J740" si="172">+F701+F738</f>
        <v>-977832.13</v>
      </c>
      <c r="G740" s="60">
        <f t="shared" si="172"/>
        <v>-1676283.6514285714</v>
      </c>
      <c r="H740" s="65">
        <f t="shared" si="172"/>
        <v>-2277735.7714285715</v>
      </c>
      <c r="I740" s="26">
        <f t="shared" si="172"/>
        <v>-2403011.2388571426</v>
      </c>
      <c r="J740" s="27">
        <f t="shared" si="172"/>
        <v>-2530370.8345165709</v>
      </c>
    </row>
    <row r="742" spans="2:10" x14ac:dyDescent="0.35">
      <c r="G742" s="2" t="s">
        <v>2543</v>
      </c>
      <c r="H742" s="2">
        <f>+H21+H112+H185+H211+H266+H303+H332+H360+H396+H442+H490+H536+H599+H649+H701</f>
        <v>-74942758.418165147</v>
      </c>
    </row>
    <row r="743" spans="2:10" x14ac:dyDescent="0.35">
      <c r="G743" s="2" t="s">
        <v>2544</v>
      </c>
      <c r="H743" s="2">
        <f>+H71+H168+H199+H252+H293+H321+H350+H384+H428+H480+H519+H582+H636+H687+H738</f>
        <v>59392699.875401147</v>
      </c>
    </row>
    <row r="744" spans="2:10" x14ac:dyDescent="0.35">
      <c r="H744" s="2">
        <f>SUM(H742:H743)</f>
        <v>-15550058.542764001</v>
      </c>
    </row>
  </sheetData>
  <sortState xmlns:xlrd2="http://schemas.microsoft.com/office/spreadsheetml/2017/richdata2" ref="C703:J737">
    <sortCondition ref="D703:D737"/>
  </sortState>
  <pageMargins left="0.7" right="0.7" top="0.75" bottom="0.75" header="0.3" footer="0.3"/>
  <pageSetup scale="65" orientation="landscape" verticalDpi="36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11</vt:i4>
      </vt:variant>
    </vt:vector>
  </HeadingPairs>
  <TitlesOfParts>
    <vt:vector size="48" baseType="lpstr">
      <vt:lpstr>Summary Budget I E</vt:lpstr>
      <vt:lpstr>Summary Actual I E</vt:lpstr>
      <vt:lpstr>Summary Projected I E</vt:lpstr>
      <vt:lpstr>Performance old</vt:lpstr>
      <vt:lpstr>Cover Page</vt:lpstr>
      <vt:lpstr>Budget</vt:lpstr>
      <vt:lpstr>Sum</vt:lpstr>
      <vt:lpstr>Position</vt:lpstr>
      <vt:lpstr>Bud S</vt:lpstr>
      <vt:lpstr>Sum Dept</vt:lpstr>
      <vt:lpstr>Fin</vt:lpstr>
      <vt:lpstr>CFO</vt:lpstr>
      <vt:lpstr>Cs</vt:lpstr>
      <vt:lpstr>Mayor</vt:lpstr>
      <vt:lpstr>Rat</vt:lpstr>
      <vt:lpstr>MM</vt:lpstr>
      <vt:lpstr>MB</vt:lpstr>
      <vt:lpstr>Lib</vt:lpstr>
      <vt:lpstr>Pry</vt:lpstr>
      <vt:lpstr>Hal</vt:lpstr>
      <vt:lpstr>Cem</vt:lpstr>
      <vt:lpstr>Par</vt:lpstr>
      <vt:lpstr>EDv</vt:lpstr>
      <vt:lpstr>Str</vt:lpstr>
      <vt:lpstr>Ele</vt:lpstr>
      <vt:lpstr>Wat</vt:lpstr>
      <vt:lpstr>San</vt:lpstr>
      <vt:lpstr>Ref</vt:lpstr>
      <vt:lpstr>Infra</vt:lpstr>
      <vt:lpstr>Tot KPA</vt:lpstr>
      <vt:lpstr>Class</vt:lpstr>
      <vt:lpstr>Fu Pr Ri</vt:lpstr>
      <vt:lpstr>Capital</vt:lpstr>
      <vt:lpstr>Lib 2</vt:lpstr>
      <vt:lpstr>WP</vt:lpstr>
      <vt:lpstr>Christelle</vt:lpstr>
      <vt:lpstr>Motivation</vt:lpstr>
      <vt:lpstr>Capital!Print_Area</vt:lpstr>
      <vt:lpstr>Class!Print_Area</vt:lpstr>
      <vt:lpstr>Ele!Print_Area</vt:lpstr>
      <vt:lpstr>'Fu Pr Ri'!Print_Area</vt:lpstr>
      <vt:lpstr>Infra!Print_Area</vt:lpstr>
      <vt:lpstr>Ref!Print_Area</vt:lpstr>
      <vt:lpstr>San!Print_Area</vt:lpstr>
      <vt:lpstr>'Sum Dept'!Print_Area</vt:lpstr>
      <vt:lpstr>'Tot KPA'!Print_Area</vt:lpstr>
      <vt:lpstr>'Fu Pr Ri'!Print_Titles</vt:lpstr>
      <vt:lpstr>'Tot KPA'!Print_Titles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 Cronje</dc:creator>
  <cp:lastModifiedBy>Sarel Myburgh</cp:lastModifiedBy>
  <cp:lastPrinted>2020-03-09T08:15:46Z</cp:lastPrinted>
  <dcterms:created xsi:type="dcterms:W3CDTF">2015-02-03T06:00:50Z</dcterms:created>
  <dcterms:modified xsi:type="dcterms:W3CDTF">2020-04-08T11:05:54Z</dcterms:modified>
</cp:coreProperties>
</file>